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40" windowWidth="12315" windowHeight="8460" tabRatio="0"/>
  </bookViews>
  <sheets>
    <sheet name="TDSheet" sheetId="1" r:id="rId1"/>
  </sheets>
  <definedNames>
    <definedName name="_xlnm._FilterDatabase" localSheetId="0" hidden="1">TDSheet!$B$1:$B$339</definedName>
    <definedName name="_xlnm.Print_Area" localSheetId="0">TDSheet!$A$1:$T$333</definedName>
  </definedNames>
  <calcPr calcId="144525"/>
</workbook>
</file>

<file path=xl/calcChain.xml><?xml version="1.0" encoding="utf-8"?>
<calcChain xmlns="http://schemas.openxmlformats.org/spreadsheetml/2006/main">
  <c r="N39" i="1"/>
  <c r="N72"/>
  <c r="N105"/>
  <c r="N140"/>
  <c r="N173"/>
  <c r="N207"/>
  <c r="N238"/>
  <c r="N272"/>
  <c r="N304"/>
  <c r="D216"/>
  <c r="T288"/>
  <c r="S288"/>
  <c r="R288"/>
  <c r="Q288"/>
  <c r="P288"/>
  <c r="O288"/>
  <c r="N288"/>
  <c r="M288"/>
  <c r="K288"/>
  <c r="J288"/>
  <c r="H288"/>
  <c r="G288"/>
  <c r="F288"/>
  <c r="T281"/>
  <c r="R281"/>
  <c r="Q281"/>
  <c r="P281"/>
  <c r="O281"/>
  <c r="N281"/>
  <c r="L281"/>
  <c r="K281"/>
  <c r="J281"/>
  <c r="H281"/>
  <c r="G281"/>
  <c r="F281"/>
  <c r="I280"/>
  <c r="I279"/>
  <c r="T278"/>
  <c r="S278"/>
  <c r="R278"/>
  <c r="Q278"/>
  <c r="P278"/>
  <c r="O278"/>
  <c r="N278"/>
  <c r="M278"/>
  <c r="L278"/>
  <c r="K278"/>
  <c r="J278"/>
  <c r="H278"/>
  <c r="G278"/>
  <c r="F278"/>
  <c r="T277"/>
  <c r="S277"/>
  <c r="P277"/>
  <c r="O277"/>
  <c r="N277"/>
  <c r="M277"/>
  <c r="M282"/>
  <c r="M283"/>
  <c r="L277"/>
  <c r="L282"/>
  <c r="L283"/>
  <c r="K277"/>
  <c r="K282"/>
  <c r="K283"/>
  <c r="J277"/>
  <c r="J282"/>
  <c r="J283"/>
  <c r="H277"/>
  <c r="H282"/>
  <c r="G277"/>
  <c r="F277"/>
  <c r="F282"/>
  <c r="F283"/>
  <c r="T247"/>
  <c r="T248"/>
  <c r="T249"/>
  <c r="R247"/>
  <c r="R248"/>
  <c r="Q247"/>
  <c r="Q248"/>
  <c r="Q249"/>
  <c r="P247"/>
  <c r="P248"/>
  <c r="P249"/>
  <c r="O247"/>
  <c r="O248"/>
  <c r="O249"/>
  <c r="N247"/>
  <c r="N248"/>
  <c r="N249"/>
  <c r="L247"/>
  <c r="L248"/>
  <c r="L249"/>
  <c r="K247"/>
  <c r="K248"/>
  <c r="J247"/>
  <c r="J248"/>
  <c r="J249"/>
  <c r="H247"/>
  <c r="G247"/>
  <c r="F247"/>
  <c r="I246"/>
  <c r="H243"/>
  <c r="H248"/>
  <c r="H249"/>
  <c r="G243"/>
  <c r="G248"/>
  <c r="G249"/>
  <c r="F243"/>
  <c r="I313"/>
  <c r="T312"/>
  <c r="T314"/>
  <c r="T315"/>
  <c r="R312"/>
  <c r="R314"/>
  <c r="R315"/>
  <c r="Q312"/>
  <c r="Q314"/>
  <c r="Q315"/>
  <c r="P312"/>
  <c r="P314"/>
  <c r="P315"/>
  <c r="O312"/>
  <c r="O314"/>
  <c r="O315"/>
  <c r="N312"/>
  <c r="N314"/>
  <c r="N315"/>
  <c r="L312"/>
  <c r="L314"/>
  <c r="L315"/>
  <c r="K312"/>
  <c r="K314"/>
  <c r="K315"/>
  <c r="J312"/>
  <c r="J314"/>
  <c r="J315"/>
  <c r="H312"/>
  <c r="G312"/>
  <c r="F312"/>
  <c r="D314"/>
  <c r="E314"/>
  <c r="M314"/>
  <c r="M315"/>
  <c r="S314"/>
  <c r="S315"/>
  <c r="H285"/>
  <c r="G285"/>
  <c r="F285"/>
  <c r="D282"/>
  <c r="E282"/>
  <c r="M248"/>
  <c r="M249"/>
  <c r="I215"/>
  <c r="I214"/>
  <c r="T156"/>
  <c r="S156"/>
  <c r="R156"/>
  <c r="Q156"/>
  <c r="P156"/>
  <c r="O156"/>
  <c r="N156"/>
  <c r="M156"/>
  <c r="M160"/>
  <c r="M161"/>
  <c r="K156"/>
  <c r="J156"/>
  <c r="H156"/>
  <c r="G156"/>
  <c r="F156"/>
  <c r="I47"/>
  <c r="I46"/>
  <c r="T114"/>
  <c r="R114"/>
  <c r="Q114"/>
  <c r="P114"/>
  <c r="O114"/>
  <c r="N114"/>
  <c r="L114"/>
  <c r="K114"/>
  <c r="J114"/>
  <c r="H114"/>
  <c r="G114"/>
  <c r="F114"/>
  <c r="I113"/>
  <c r="I112"/>
  <c r="T111"/>
  <c r="T115"/>
  <c r="S111"/>
  <c r="S115"/>
  <c r="S116"/>
  <c r="R111"/>
  <c r="Q111"/>
  <c r="P111"/>
  <c r="O111"/>
  <c r="N111"/>
  <c r="M111"/>
  <c r="M115"/>
  <c r="L111"/>
  <c r="L115"/>
  <c r="L116"/>
  <c r="K111"/>
  <c r="K115"/>
  <c r="J111"/>
  <c r="J115"/>
  <c r="H111"/>
  <c r="H115"/>
  <c r="H116"/>
  <c r="G111"/>
  <c r="F111"/>
  <c r="F115"/>
  <c r="F116"/>
  <c r="T81"/>
  <c r="T82"/>
  <c r="T83"/>
  <c r="R81"/>
  <c r="R82"/>
  <c r="R83"/>
  <c r="Q81"/>
  <c r="Q82"/>
  <c r="Q83"/>
  <c r="P81"/>
  <c r="P82"/>
  <c r="O81"/>
  <c r="O82"/>
  <c r="N81"/>
  <c r="N82"/>
  <c r="N83"/>
  <c r="L81"/>
  <c r="L82"/>
  <c r="L83"/>
  <c r="K81"/>
  <c r="K82"/>
  <c r="K83"/>
  <c r="J81"/>
  <c r="J82"/>
  <c r="H81"/>
  <c r="G81"/>
  <c r="F81"/>
  <c r="I80"/>
  <c r="H77"/>
  <c r="H82"/>
  <c r="H83"/>
  <c r="G77"/>
  <c r="G82"/>
  <c r="G83"/>
  <c r="F77"/>
  <c r="F82"/>
  <c r="F83"/>
  <c r="E115"/>
  <c r="D115"/>
  <c r="T148"/>
  <c r="T150"/>
  <c r="T151"/>
  <c r="R148"/>
  <c r="R150"/>
  <c r="R151"/>
  <c r="Q148"/>
  <c r="Q150"/>
  <c r="Q151"/>
  <c r="P148"/>
  <c r="P150"/>
  <c r="P151"/>
  <c r="O148"/>
  <c r="O150"/>
  <c r="O151"/>
  <c r="N148"/>
  <c r="N150"/>
  <c r="N151"/>
  <c r="L148"/>
  <c r="L150"/>
  <c r="L151"/>
  <c r="K148"/>
  <c r="K150"/>
  <c r="K151"/>
  <c r="J148"/>
  <c r="J150"/>
  <c r="J151"/>
  <c r="H148"/>
  <c r="G148"/>
  <c r="F148"/>
  <c r="I149"/>
  <c r="H150"/>
  <c r="H151"/>
  <c r="G150"/>
  <c r="G151"/>
  <c r="I12"/>
  <c r="I11"/>
  <c r="T9"/>
  <c r="T14"/>
  <c r="T15"/>
  <c r="S9"/>
  <c r="S14"/>
  <c r="S15"/>
  <c r="R9"/>
  <c r="R14"/>
  <c r="R15"/>
  <c r="Q9"/>
  <c r="Q14"/>
  <c r="Q15"/>
  <c r="P9"/>
  <c r="P14"/>
  <c r="P15"/>
  <c r="O9"/>
  <c r="O14"/>
  <c r="N9"/>
  <c r="N14"/>
  <c r="N15"/>
  <c r="M9"/>
  <c r="M14"/>
  <c r="M15"/>
  <c r="L9"/>
  <c r="L14"/>
  <c r="L15"/>
  <c r="K9"/>
  <c r="K14"/>
  <c r="K15"/>
  <c r="J9"/>
  <c r="J14"/>
  <c r="J15"/>
  <c r="H14"/>
  <c r="H15"/>
  <c r="G14"/>
  <c r="G15"/>
  <c r="F14"/>
  <c r="H317"/>
  <c r="G317"/>
  <c r="F317"/>
  <c r="M258"/>
  <c r="M259"/>
  <c r="E258"/>
  <c r="D258"/>
  <c r="H219"/>
  <c r="G219"/>
  <c r="F219"/>
  <c r="T222"/>
  <c r="S222"/>
  <c r="R222"/>
  <c r="Q222"/>
  <c r="P222"/>
  <c r="O222"/>
  <c r="N222"/>
  <c r="M222"/>
  <c r="M226"/>
  <c r="M227"/>
  <c r="K222"/>
  <c r="J222"/>
  <c r="H222"/>
  <c r="G222"/>
  <c r="F222"/>
  <c r="S216"/>
  <c r="S217"/>
  <c r="I188"/>
  <c r="I119"/>
  <c r="H86"/>
  <c r="G86"/>
  <c r="F86"/>
  <c r="D48"/>
  <c r="T54"/>
  <c r="S54"/>
  <c r="R54"/>
  <c r="Q54"/>
  <c r="P54"/>
  <c r="O54"/>
  <c r="N54"/>
  <c r="M54"/>
  <c r="M58"/>
  <c r="M59"/>
  <c r="K54"/>
  <c r="J54"/>
  <c r="H54"/>
  <c r="G54"/>
  <c r="F54"/>
  <c r="E48"/>
  <c r="T48"/>
  <c r="T49"/>
  <c r="S48"/>
  <c r="S49"/>
  <c r="M48"/>
  <c r="M49"/>
  <c r="K48"/>
  <c r="K49"/>
  <c r="H48"/>
  <c r="H49"/>
  <c r="F48"/>
  <c r="F49"/>
  <c r="T21"/>
  <c r="S21"/>
  <c r="R21"/>
  <c r="Q21"/>
  <c r="P21"/>
  <c r="O21"/>
  <c r="N21"/>
  <c r="M21"/>
  <c r="K21"/>
  <c r="J21"/>
  <c r="H21"/>
  <c r="G21"/>
  <c r="F21"/>
  <c r="H31"/>
  <c r="H32"/>
  <c r="J31"/>
  <c r="J32"/>
  <c r="K31"/>
  <c r="K32"/>
  <c r="L31"/>
  <c r="L32"/>
  <c r="M31"/>
  <c r="M32"/>
  <c r="N31"/>
  <c r="N32"/>
  <c r="O31"/>
  <c r="O32"/>
  <c r="P31"/>
  <c r="P32"/>
  <c r="Q31"/>
  <c r="Q32"/>
  <c r="R31"/>
  <c r="R32"/>
  <c r="S31"/>
  <c r="S32"/>
  <c r="T31"/>
  <c r="T32"/>
  <c r="I63"/>
  <c r="I64"/>
  <c r="I98"/>
  <c r="I99"/>
  <c r="T225"/>
  <c r="R225"/>
  <c r="Q225"/>
  <c r="P225"/>
  <c r="O225"/>
  <c r="N225"/>
  <c r="L225"/>
  <c r="L226"/>
  <c r="L227"/>
  <c r="K225"/>
  <c r="J225"/>
  <c r="H225"/>
  <c r="G225"/>
  <c r="F225"/>
  <c r="T224"/>
  <c r="S224"/>
  <c r="R224"/>
  <c r="Q224"/>
  <c r="P224"/>
  <c r="O224"/>
  <c r="N224"/>
  <c r="K224"/>
  <c r="K226"/>
  <c r="K227"/>
  <c r="J224"/>
  <c r="H224"/>
  <c r="G224"/>
  <c r="F224"/>
  <c r="D226"/>
  <c r="E226"/>
  <c r="I231"/>
  <c r="I232"/>
  <c r="D231"/>
  <c r="E231"/>
  <c r="F231"/>
  <c r="F232"/>
  <c r="G231"/>
  <c r="G232"/>
  <c r="H231"/>
  <c r="H232"/>
  <c r="J231"/>
  <c r="J232"/>
  <c r="K231"/>
  <c r="L231"/>
  <c r="L232"/>
  <c r="M231"/>
  <c r="M232"/>
  <c r="N231"/>
  <c r="N232"/>
  <c r="O231"/>
  <c r="O232"/>
  <c r="P231"/>
  <c r="P232"/>
  <c r="Q231"/>
  <c r="Q232"/>
  <c r="R231"/>
  <c r="R232"/>
  <c r="S231"/>
  <c r="S232"/>
  <c r="T231"/>
  <c r="T232"/>
  <c r="K232"/>
  <c r="T193"/>
  <c r="R193"/>
  <c r="Q193"/>
  <c r="P193"/>
  <c r="O193"/>
  <c r="N193"/>
  <c r="L193"/>
  <c r="L194"/>
  <c r="L195"/>
  <c r="K193"/>
  <c r="J193"/>
  <c r="H193"/>
  <c r="G193"/>
  <c r="F193"/>
  <c r="T192"/>
  <c r="T194"/>
  <c r="T195"/>
  <c r="S192"/>
  <c r="S194"/>
  <c r="S195"/>
  <c r="R192"/>
  <c r="Q192"/>
  <c r="P192"/>
  <c r="O192"/>
  <c r="N192"/>
  <c r="K192"/>
  <c r="K194"/>
  <c r="K195"/>
  <c r="J192"/>
  <c r="J194"/>
  <c r="J195"/>
  <c r="H192"/>
  <c r="H194"/>
  <c r="H195"/>
  <c r="G192"/>
  <c r="G194"/>
  <c r="G195"/>
  <c r="F192"/>
  <c r="F194"/>
  <c r="F195"/>
  <c r="M194"/>
  <c r="M195"/>
  <c r="M216"/>
  <c r="M217"/>
  <c r="D14"/>
  <c r="E329"/>
  <c r="I329"/>
  <c r="I330"/>
  <c r="E297"/>
  <c r="I297"/>
  <c r="I298"/>
  <c r="E263"/>
  <c r="I263"/>
  <c r="I264"/>
  <c r="E199"/>
  <c r="I199"/>
  <c r="I200"/>
  <c r="E165"/>
  <c r="T165"/>
  <c r="T166"/>
  <c r="S165"/>
  <c r="S166"/>
  <c r="O165"/>
  <c r="O166"/>
  <c r="L165"/>
  <c r="L166"/>
  <c r="H165"/>
  <c r="H166"/>
  <c r="F165"/>
  <c r="F166"/>
  <c r="E131"/>
  <c r="D131"/>
  <c r="F131"/>
  <c r="F132"/>
  <c r="G131"/>
  <c r="G132"/>
  <c r="H131"/>
  <c r="H132"/>
  <c r="I131"/>
  <c r="I132"/>
  <c r="J131"/>
  <c r="J132"/>
  <c r="K131"/>
  <c r="K132"/>
  <c r="L131"/>
  <c r="L132"/>
  <c r="M131"/>
  <c r="M132"/>
  <c r="N131"/>
  <c r="N132"/>
  <c r="O131"/>
  <c r="O132"/>
  <c r="P131"/>
  <c r="P132"/>
  <c r="Q131"/>
  <c r="Q132"/>
  <c r="R131"/>
  <c r="R132"/>
  <c r="S131"/>
  <c r="S132"/>
  <c r="T131"/>
  <c r="T132"/>
  <c r="E98"/>
  <c r="E63"/>
  <c r="E31"/>
  <c r="G31"/>
  <c r="G32"/>
  <c r="R287"/>
  <c r="M287"/>
  <c r="A186"/>
  <c r="A183"/>
  <c r="A48"/>
  <c r="A43"/>
  <c r="D297"/>
  <c r="T297"/>
  <c r="T298"/>
  <c r="S297"/>
  <c r="S298"/>
  <c r="R297"/>
  <c r="R298"/>
  <c r="Q297"/>
  <c r="Q298"/>
  <c r="P297"/>
  <c r="P298"/>
  <c r="O297"/>
  <c r="O298"/>
  <c r="N297"/>
  <c r="N298"/>
  <c r="M297"/>
  <c r="M298"/>
  <c r="L297"/>
  <c r="L298"/>
  <c r="K297"/>
  <c r="K298"/>
  <c r="J297"/>
  <c r="J298"/>
  <c r="H297"/>
  <c r="H298"/>
  <c r="G297"/>
  <c r="G298"/>
  <c r="F297"/>
  <c r="F298"/>
  <c r="E292"/>
  <c r="D292"/>
  <c r="T291"/>
  <c r="R291"/>
  <c r="Q291"/>
  <c r="P291"/>
  <c r="O291"/>
  <c r="N291"/>
  <c r="L291"/>
  <c r="K291"/>
  <c r="J291"/>
  <c r="H291"/>
  <c r="G291"/>
  <c r="F291"/>
  <c r="T290"/>
  <c r="S290"/>
  <c r="R290"/>
  <c r="Q290"/>
  <c r="P290"/>
  <c r="O290"/>
  <c r="N290"/>
  <c r="K290"/>
  <c r="J290"/>
  <c r="H290"/>
  <c r="G290"/>
  <c r="F290"/>
  <c r="T286"/>
  <c r="S286"/>
  <c r="R286"/>
  <c r="Q286"/>
  <c r="P286"/>
  <c r="O286"/>
  <c r="N286"/>
  <c r="M286"/>
  <c r="L286"/>
  <c r="K286"/>
  <c r="J286"/>
  <c r="H286"/>
  <c r="G286"/>
  <c r="F286"/>
  <c r="T263"/>
  <c r="T264"/>
  <c r="R263"/>
  <c r="R264"/>
  <c r="D263"/>
  <c r="S263"/>
  <c r="S264"/>
  <c r="Q263"/>
  <c r="Q264"/>
  <c r="P263"/>
  <c r="P264"/>
  <c r="O263"/>
  <c r="O264"/>
  <c r="N263"/>
  <c r="N264"/>
  <c r="M263"/>
  <c r="M264"/>
  <c r="L263"/>
  <c r="L264"/>
  <c r="K263"/>
  <c r="K264"/>
  <c r="J263"/>
  <c r="J264"/>
  <c r="H263"/>
  <c r="H264"/>
  <c r="G263"/>
  <c r="G264"/>
  <c r="F263"/>
  <c r="F264"/>
  <c r="T256"/>
  <c r="R256"/>
  <c r="Q256"/>
  <c r="P256"/>
  <c r="O256"/>
  <c r="N256"/>
  <c r="L256"/>
  <c r="L258"/>
  <c r="K256"/>
  <c r="J256"/>
  <c r="H256"/>
  <c r="G256"/>
  <c r="F256"/>
  <c r="T255"/>
  <c r="T258"/>
  <c r="T259"/>
  <c r="S255"/>
  <c r="S258"/>
  <c r="R255"/>
  <c r="Q255"/>
  <c r="P255"/>
  <c r="O255"/>
  <c r="N255"/>
  <c r="K255"/>
  <c r="K258"/>
  <c r="K259"/>
  <c r="J255"/>
  <c r="J258"/>
  <c r="H255"/>
  <c r="H258"/>
  <c r="G255"/>
  <c r="G258"/>
  <c r="F255"/>
  <c r="F258"/>
  <c r="F259"/>
  <c r="E248"/>
  <c r="D248"/>
  <c r="S248"/>
  <c r="S249"/>
  <c r="E216"/>
  <c r="R216"/>
  <c r="R217"/>
  <c r="T199"/>
  <c r="T200"/>
  <c r="S199"/>
  <c r="R199"/>
  <c r="R200"/>
  <c r="Q199"/>
  <c r="Q200"/>
  <c r="P199"/>
  <c r="P200"/>
  <c r="O199"/>
  <c r="O200"/>
  <c r="N199"/>
  <c r="N200"/>
  <c r="M199"/>
  <c r="M200"/>
  <c r="L199"/>
  <c r="L200"/>
  <c r="K199"/>
  <c r="K200"/>
  <c r="J199"/>
  <c r="J200"/>
  <c r="H199"/>
  <c r="H200"/>
  <c r="G199"/>
  <c r="G200"/>
  <c r="F199"/>
  <c r="F200"/>
  <c r="E194"/>
  <c r="D194"/>
  <c r="S183"/>
  <c r="S184"/>
  <c r="M183"/>
  <c r="E183"/>
  <c r="D183"/>
  <c r="D201"/>
  <c r="T182"/>
  <c r="T183"/>
  <c r="T184"/>
  <c r="R182"/>
  <c r="R183"/>
  <c r="Q182"/>
  <c r="Q183"/>
  <c r="Q184"/>
  <c r="P182"/>
  <c r="P183"/>
  <c r="P184"/>
  <c r="O182"/>
  <c r="O183"/>
  <c r="O184"/>
  <c r="N182"/>
  <c r="N183"/>
  <c r="N184"/>
  <c r="L182"/>
  <c r="L183"/>
  <c r="K182"/>
  <c r="K183"/>
  <c r="J182"/>
  <c r="J183"/>
  <c r="H182"/>
  <c r="G182"/>
  <c r="G183"/>
  <c r="G184"/>
  <c r="F182"/>
  <c r="I181"/>
  <c r="H183"/>
  <c r="H184"/>
  <c r="E126"/>
  <c r="D126"/>
  <c r="T125"/>
  <c r="R125"/>
  <c r="Q125"/>
  <c r="P125"/>
  <c r="O125"/>
  <c r="N125"/>
  <c r="L125"/>
  <c r="L126"/>
  <c r="L127"/>
  <c r="K125"/>
  <c r="J125"/>
  <c r="H125"/>
  <c r="G125"/>
  <c r="F125"/>
  <c r="T124"/>
  <c r="T126"/>
  <c r="T127"/>
  <c r="S124"/>
  <c r="S126"/>
  <c r="R124"/>
  <c r="Q124"/>
  <c r="P124"/>
  <c r="O124"/>
  <c r="N124"/>
  <c r="K124"/>
  <c r="K126"/>
  <c r="K127"/>
  <c r="J124"/>
  <c r="H124"/>
  <c r="G124"/>
  <c r="F124"/>
  <c r="R98"/>
  <c r="R99"/>
  <c r="M98"/>
  <c r="M99"/>
  <c r="D98"/>
  <c r="T98"/>
  <c r="T99"/>
  <c r="S98"/>
  <c r="S99"/>
  <c r="Q98"/>
  <c r="Q99"/>
  <c r="P98"/>
  <c r="P99"/>
  <c r="O98"/>
  <c r="O99"/>
  <c r="N98"/>
  <c r="N99"/>
  <c r="L98"/>
  <c r="L99"/>
  <c r="K98"/>
  <c r="K99"/>
  <c r="J98"/>
  <c r="J99"/>
  <c r="H98"/>
  <c r="H99"/>
  <c r="F98"/>
  <c r="F99"/>
  <c r="E93"/>
  <c r="D93"/>
  <c r="T92"/>
  <c r="R92"/>
  <c r="Q92"/>
  <c r="P92"/>
  <c r="O92"/>
  <c r="N92"/>
  <c r="L92"/>
  <c r="L93"/>
  <c r="L94"/>
  <c r="K92"/>
  <c r="J92"/>
  <c r="H92"/>
  <c r="G92"/>
  <c r="F92"/>
  <c r="T91"/>
  <c r="S91"/>
  <c r="R91"/>
  <c r="Q91"/>
  <c r="P91"/>
  <c r="O91"/>
  <c r="N91"/>
  <c r="K91"/>
  <c r="K93"/>
  <c r="K94"/>
  <c r="J91"/>
  <c r="H91"/>
  <c r="G91"/>
  <c r="F91"/>
  <c r="M82"/>
  <c r="M83"/>
  <c r="E82"/>
  <c r="D82"/>
  <c r="S82"/>
  <c r="S83"/>
  <c r="D63"/>
  <c r="T63"/>
  <c r="T64"/>
  <c r="S63"/>
  <c r="S64"/>
  <c r="R63"/>
  <c r="R64"/>
  <c r="Q63"/>
  <c r="Q64"/>
  <c r="P63"/>
  <c r="P64"/>
  <c r="O63"/>
  <c r="O64"/>
  <c r="N63"/>
  <c r="N64"/>
  <c r="M63"/>
  <c r="M64"/>
  <c r="L63"/>
  <c r="L64"/>
  <c r="K63"/>
  <c r="K64"/>
  <c r="J63"/>
  <c r="J64"/>
  <c r="H63"/>
  <c r="H64"/>
  <c r="F63"/>
  <c r="F64"/>
  <c r="E58"/>
  <c r="D58"/>
  <c r="T57"/>
  <c r="R57"/>
  <c r="Q57"/>
  <c r="P57"/>
  <c r="O57"/>
  <c r="N57"/>
  <c r="L57"/>
  <c r="L58"/>
  <c r="L59"/>
  <c r="K57"/>
  <c r="J57"/>
  <c r="H57"/>
  <c r="G57"/>
  <c r="F57"/>
  <c r="T56"/>
  <c r="S56"/>
  <c r="R56"/>
  <c r="Q56"/>
  <c r="P56"/>
  <c r="O56"/>
  <c r="N56"/>
  <c r="K56"/>
  <c r="J56"/>
  <c r="H56"/>
  <c r="G56"/>
  <c r="F56"/>
  <c r="I52"/>
  <c r="D31"/>
  <c r="E26"/>
  <c r="D26"/>
  <c r="T25"/>
  <c r="R25"/>
  <c r="Q25"/>
  <c r="P25"/>
  <c r="O25"/>
  <c r="N25"/>
  <c r="L25"/>
  <c r="K25"/>
  <c r="J25"/>
  <c r="H25"/>
  <c r="G25"/>
  <c r="F25"/>
  <c r="T24"/>
  <c r="S24"/>
  <c r="R24"/>
  <c r="Q24"/>
  <c r="P24"/>
  <c r="O24"/>
  <c r="N24"/>
  <c r="K24"/>
  <c r="J24"/>
  <c r="H24"/>
  <c r="G24"/>
  <c r="F24"/>
  <c r="R20"/>
  <c r="M20"/>
  <c r="T18"/>
  <c r="S18"/>
  <c r="R18"/>
  <c r="Q18"/>
  <c r="P18"/>
  <c r="O18"/>
  <c r="N18"/>
  <c r="M18"/>
  <c r="L18"/>
  <c r="L26"/>
  <c r="L27"/>
  <c r="K18"/>
  <c r="K26"/>
  <c r="K27"/>
  <c r="J18"/>
  <c r="H18"/>
  <c r="G18"/>
  <c r="F18"/>
  <c r="E14"/>
  <c r="D160"/>
  <c r="D150"/>
  <c r="E150"/>
  <c r="E324"/>
  <c r="E160"/>
  <c r="D329"/>
  <c r="T322"/>
  <c r="S322"/>
  <c r="S324"/>
  <c r="S325"/>
  <c r="R322"/>
  <c r="Q322"/>
  <c r="P322"/>
  <c r="O322"/>
  <c r="N322"/>
  <c r="K322"/>
  <c r="J322"/>
  <c r="H322"/>
  <c r="G322"/>
  <c r="F322"/>
  <c r="T158"/>
  <c r="S158"/>
  <c r="R158"/>
  <c r="Q158"/>
  <c r="P158"/>
  <c r="O158"/>
  <c r="N158"/>
  <c r="K158"/>
  <c r="J158"/>
  <c r="H158"/>
  <c r="G158"/>
  <c r="F158"/>
  <c r="T323"/>
  <c r="R323"/>
  <c r="Q323"/>
  <c r="P323"/>
  <c r="O323"/>
  <c r="N323"/>
  <c r="L323"/>
  <c r="L324"/>
  <c r="L325"/>
  <c r="K323"/>
  <c r="J323"/>
  <c r="H323"/>
  <c r="G323"/>
  <c r="F323"/>
  <c r="T159"/>
  <c r="R159"/>
  <c r="Q159"/>
  <c r="P159"/>
  <c r="O159"/>
  <c r="N159"/>
  <c r="L159"/>
  <c r="L160"/>
  <c r="L161"/>
  <c r="K159"/>
  <c r="J159"/>
  <c r="H159"/>
  <c r="G159"/>
  <c r="F159"/>
  <c r="T329"/>
  <c r="T330"/>
  <c r="S329"/>
  <c r="S330"/>
  <c r="R329"/>
  <c r="R330"/>
  <c r="Q329"/>
  <c r="Q330"/>
  <c r="P329"/>
  <c r="P330"/>
  <c r="O329"/>
  <c r="O330"/>
  <c r="N329"/>
  <c r="N330"/>
  <c r="M329"/>
  <c r="M330"/>
  <c r="L329"/>
  <c r="L330"/>
  <c r="K329"/>
  <c r="K330"/>
  <c r="J329"/>
  <c r="J330"/>
  <c r="H329"/>
  <c r="H330"/>
  <c r="G329"/>
  <c r="G330"/>
  <c r="D324"/>
  <c r="D165"/>
  <c r="J165"/>
  <c r="J166"/>
  <c r="K165"/>
  <c r="K166"/>
  <c r="M165"/>
  <c r="M166"/>
  <c r="N165"/>
  <c r="N166"/>
  <c r="P165"/>
  <c r="P166"/>
  <c r="Q165"/>
  <c r="Q166"/>
  <c r="R165"/>
  <c r="R166"/>
  <c r="G63"/>
  <c r="G64"/>
  <c r="G98"/>
  <c r="G99"/>
  <c r="F329"/>
  <c r="F330"/>
  <c r="W115"/>
  <c r="G165"/>
  <c r="G166"/>
  <c r="I165"/>
  <c r="I166"/>
  <c r="P216"/>
  <c r="G216"/>
  <c r="G217"/>
  <c r="J216"/>
  <c r="J217"/>
  <c r="L216"/>
  <c r="L217"/>
  <c r="T216"/>
  <c r="O48"/>
  <c r="O49"/>
  <c r="Q48"/>
  <c r="Q49"/>
  <c r="M324"/>
  <c r="M325"/>
  <c r="Q216"/>
  <c r="Q217"/>
  <c r="F216"/>
  <c r="F217"/>
  <c r="H216"/>
  <c r="H217"/>
  <c r="O216"/>
  <c r="O217"/>
  <c r="K216"/>
  <c r="K217"/>
  <c r="M126"/>
  <c r="M127"/>
  <c r="R48"/>
  <c r="R49"/>
  <c r="P48"/>
  <c r="P49"/>
  <c r="N48"/>
  <c r="M150"/>
  <c r="M151"/>
  <c r="S150"/>
  <c r="S151"/>
  <c r="M93"/>
  <c r="M94"/>
  <c r="S93"/>
  <c r="N216"/>
  <c r="G48"/>
  <c r="G49"/>
  <c r="F31"/>
  <c r="F32"/>
  <c r="I31"/>
  <c r="I32"/>
  <c r="F248"/>
  <c r="F249"/>
  <c r="L48"/>
  <c r="L49"/>
  <c r="J48"/>
  <c r="J49"/>
  <c r="O15"/>
  <c r="I48"/>
  <c r="I49"/>
  <c r="I317"/>
  <c r="H201"/>
  <c r="H203"/>
  <c r="R324"/>
  <c r="R325"/>
  <c r="I18"/>
  <c r="M26"/>
  <c r="M27"/>
  <c r="T201"/>
  <c r="T203"/>
  <c r="I54"/>
  <c r="I148"/>
  <c r="R115"/>
  <c r="R116"/>
  <c r="I156"/>
  <c r="I278"/>
  <c r="K160"/>
  <c r="K161"/>
  <c r="S226"/>
  <c r="S227"/>
  <c r="H292"/>
  <c r="H293"/>
  <c r="L167"/>
  <c r="L169"/>
  <c r="I77"/>
  <c r="S58"/>
  <c r="S59"/>
  <c r="J324"/>
  <c r="J325"/>
  <c r="I57"/>
  <c r="K33"/>
  <c r="K35"/>
  <c r="T292"/>
  <c r="T293"/>
  <c r="M65"/>
  <c r="M67"/>
  <c r="I222"/>
  <c r="I81"/>
  <c r="I111"/>
  <c r="N115"/>
  <c r="N116"/>
  <c r="I114"/>
  <c r="T160"/>
  <c r="T161"/>
  <c r="T324"/>
  <c r="T325"/>
  <c r="I14"/>
  <c r="I15"/>
  <c r="K133"/>
  <c r="K135"/>
  <c r="D331"/>
  <c r="N160"/>
  <c r="N167"/>
  <c r="N169"/>
  <c r="P324"/>
  <c r="P331"/>
  <c r="P333"/>
  <c r="S160"/>
  <c r="S161"/>
  <c r="G26"/>
  <c r="G27"/>
  <c r="J26"/>
  <c r="J27"/>
  <c r="I25"/>
  <c r="G58"/>
  <c r="G59"/>
  <c r="G93"/>
  <c r="G94"/>
  <c r="N93"/>
  <c r="P93"/>
  <c r="P94"/>
  <c r="R93"/>
  <c r="R94"/>
  <c r="I124"/>
  <c r="I125"/>
  <c r="Q258"/>
  <c r="Q259"/>
  <c r="O226"/>
  <c r="O233"/>
  <c r="O235"/>
  <c r="L133"/>
  <c r="L135"/>
  <c r="G160"/>
  <c r="G161"/>
  <c r="I312"/>
  <c r="I314"/>
  <c r="P282"/>
  <c r="P283"/>
  <c r="Q282"/>
  <c r="Q283"/>
  <c r="N258"/>
  <c r="N259"/>
  <c r="H26"/>
  <c r="H27"/>
  <c r="I86"/>
  <c r="G265"/>
  <c r="G267"/>
  <c r="G115"/>
  <c r="G116"/>
  <c r="L100"/>
  <c r="L102"/>
  <c r="F26"/>
  <c r="F27"/>
  <c r="K58"/>
  <c r="S292"/>
  <c r="S293"/>
  <c r="F314"/>
  <c r="F315"/>
  <c r="H324"/>
  <c r="H325"/>
  <c r="G259"/>
  <c r="J265"/>
  <c r="J267"/>
  <c r="M167"/>
  <c r="M169"/>
  <c r="O26"/>
  <c r="G201"/>
  <c r="G203"/>
  <c r="L233"/>
  <c r="L235"/>
  <c r="Q160"/>
  <c r="O324"/>
  <c r="O325"/>
  <c r="O58"/>
  <c r="H226"/>
  <c r="H227"/>
  <c r="O115"/>
  <c r="O116"/>
  <c r="Q115"/>
  <c r="Q116"/>
  <c r="P115"/>
  <c r="P116"/>
  <c r="F160"/>
  <c r="F161"/>
  <c r="I216"/>
  <c r="I217"/>
  <c r="O126"/>
  <c r="O127"/>
  <c r="R258"/>
  <c r="R259"/>
  <c r="M292"/>
  <c r="M293"/>
  <c r="I193"/>
  <c r="K292"/>
  <c r="K299"/>
  <c r="K301"/>
  <c r="E299"/>
  <c r="P26"/>
  <c r="P27"/>
  <c r="N58"/>
  <c r="N59"/>
  <c r="M265"/>
  <c r="M267"/>
  <c r="N217"/>
  <c r="P217"/>
  <c r="J160"/>
  <c r="J167"/>
  <c r="J169"/>
  <c r="I219"/>
  <c r="F226"/>
  <c r="F227"/>
  <c r="G324"/>
  <c r="G325"/>
  <c r="R160"/>
  <c r="G292"/>
  <c r="G293"/>
  <c r="I285"/>
  <c r="I159"/>
  <c r="P160"/>
  <c r="P167"/>
  <c r="P169"/>
  <c r="I323"/>
  <c r="N324"/>
  <c r="N325"/>
  <c r="I158"/>
  <c r="O160"/>
  <c r="O161"/>
  <c r="I322"/>
  <c r="Q324"/>
  <c r="E331"/>
  <c r="N26"/>
  <c r="R26"/>
  <c r="T26"/>
  <c r="T27"/>
  <c r="I24"/>
  <c r="I56"/>
  <c r="R58"/>
  <c r="T58"/>
  <c r="T59"/>
  <c r="Q126"/>
  <c r="H126"/>
  <c r="N126"/>
  <c r="I255"/>
  <c r="P258"/>
  <c r="P259"/>
  <c r="I256"/>
  <c r="O258"/>
  <c r="O292"/>
  <c r="O293"/>
  <c r="I192"/>
  <c r="N226"/>
  <c r="N227"/>
  <c r="P226"/>
  <c r="P227"/>
  <c r="R226"/>
  <c r="I21"/>
  <c r="S26"/>
  <c r="J226"/>
  <c r="J233"/>
  <c r="J235"/>
  <c r="Q226"/>
  <c r="Q227"/>
  <c r="G226"/>
  <c r="G233"/>
  <c r="G235"/>
  <c r="S133"/>
  <c r="S135"/>
  <c r="S127"/>
  <c r="N49"/>
  <c r="I182"/>
  <c r="I183"/>
  <c r="I184"/>
  <c r="F183"/>
  <c r="M184"/>
  <c r="M201"/>
  <c r="M203"/>
  <c r="S200"/>
  <c r="S201"/>
  <c r="S203"/>
  <c r="F292"/>
  <c r="I286"/>
  <c r="Q26"/>
  <c r="J58"/>
  <c r="J59"/>
  <c r="Q58"/>
  <c r="F324"/>
  <c r="J259"/>
  <c r="P161"/>
  <c r="H160"/>
  <c r="P83"/>
  <c r="K100"/>
  <c r="K102"/>
  <c r="L33"/>
  <c r="L35"/>
  <c r="M233"/>
  <c r="M235"/>
  <c r="P58"/>
  <c r="D65"/>
  <c r="J93"/>
  <c r="J94"/>
  <c r="O93"/>
  <c r="O94"/>
  <c r="Q93"/>
  <c r="Q94"/>
  <c r="H93"/>
  <c r="F126"/>
  <c r="P126"/>
  <c r="P127"/>
  <c r="R126"/>
  <c r="R127"/>
  <c r="E133"/>
  <c r="P292"/>
  <c r="P293"/>
  <c r="R292"/>
  <c r="R293"/>
  <c r="I243"/>
  <c r="S265"/>
  <c r="S267"/>
  <c r="S259"/>
  <c r="K184"/>
  <c r="K201"/>
  <c r="K203"/>
  <c r="J201"/>
  <c r="J203"/>
  <c r="J184"/>
  <c r="L201"/>
  <c r="L203"/>
  <c r="L184"/>
  <c r="T226"/>
  <c r="T227"/>
  <c r="R282"/>
  <c r="R283"/>
  <c r="F58"/>
  <c r="H58"/>
  <c r="J126"/>
  <c r="J127"/>
  <c r="N292"/>
  <c r="N293"/>
  <c r="O194"/>
  <c r="Q194"/>
  <c r="G314"/>
  <c r="T217"/>
  <c r="I92"/>
  <c r="F93"/>
  <c r="K233"/>
  <c r="K235"/>
  <c r="Q292"/>
  <c r="K116"/>
  <c r="F265"/>
  <c r="F267"/>
  <c r="L65"/>
  <c r="L67"/>
  <c r="R249"/>
  <c r="K324"/>
  <c r="K325"/>
  <c r="D33"/>
  <c r="E65"/>
  <c r="T93"/>
  <c r="G126"/>
  <c r="G127"/>
  <c r="D133"/>
  <c r="J292"/>
  <c r="J293"/>
  <c r="L292"/>
  <c r="I290"/>
  <c r="I291"/>
  <c r="D299"/>
  <c r="N194"/>
  <c r="P194"/>
  <c r="R194"/>
  <c r="R195"/>
  <c r="D233"/>
  <c r="H314"/>
  <c r="O282"/>
  <c r="O283"/>
  <c r="R184"/>
  <c r="F15"/>
  <c r="O83"/>
  <c r="T265"/>
  <c r="T267"/>
  <c r="J83"/>
  <c r="I91"/>
  <c r="D265"/>
  <c r="I247"/>
  <c r="I277"/>
  <c r="T282"/>
  <c r="S282"/>
  <c r="S283"/>
  <c r="I281"/>
  <c r="I288"/>
  <c r="E167"/>
  <c r="D167"/>
  <c r="E33"/>
  <c r="E100"/>
  <c r="E201"/>
  <c r="K249"/>
  <c r="K265"/>
  <c r="K267"/>
  <c r="H283"/>
  <c r="S100"/>
  <c r="S102"/>
  <c r="S94"/>
  <c r="H265"/>
  <c r="H267"/>
  <c r="H259"/>
  <c r="L259"/>
  <c r="L265"/>
  <c r="L267"/>
  <c r="D100"/>
  <c r="E233"/>
  <c r="I224"/>
  <c r="I225"/>
  <c r="F150"/>
  <c r="G282"/>
  <c r="N282"/>
  <c r="E265"/>
  <c r="S331"/>
  <c r="S333"/>
  <c r="L331"/>
  <c r="L333"/>
  <c r="M331"/>
  <c r="M333"/>
  <c r="X299"/>
  <c r="J116"/>
  <c r="M116"/>
  <c r="M133"/>
  <c r="M135"/>
  <c r="T116"/>
  <c r="T133"/>
  <c r="T135"/>
  <c r="M100"/>
  <c r="M102"/>
  <c r="M33"/>
  <c r="M35"/>
  <c r="N265"/>
  <c r="N267"/>
  <c r="R331"/>
  <c r="R333"/>
  <c r="H299"/>
  <c r="H301"/>
  <c r="T33"/>
  <c r="T35"/>
  <c r="Q265"/>
  <c r="Q267"/>
  <c r="M299"/>
  <c r="M301"/>
  <c r="G227"/>
  <c r="P265"/>
  <c r="P267"/>
  <c r="I324"/>
  <c r="I325"/>
  <c r="S167"/>
  <c r="S169"/>
  <c r="N161"/>
  <c r="O227"/>
  <c r="J33"/>
  <c r="J35"/>
  <c r="P33"/>
  <c r="P35"/>
  <c r="G65"/>
  <c r="G67"/>
  <c r="S233"/>
  <c r="S235"/>
  <c r="I26"/>
  <c r="I27"/>
  <c r="H33"/>
  <c r="H35"/>
  <c r="G100"/>
  <c r="G102"/>
  <c r="R100"/>
  <c r="R102"/>
  <c r="N331"/>
  <c r="N333"/>
  <c r="J331"/>
  <c r="J333"/>
  <c r="Q100"/>
  <c r="Q102"/>
  <c r="I160"/>
  <c r="I161"/>
  <c r="G167"/>
  <c r="G169"/>
  <c r="K167"/>
  <c r="K169"/>
  <c r="I150"/>
  <c r="I151"/>
  <c r="I126"/>
  <c r="I127"/>
  <c r="I82"/>
  <c r="I83"/>
  <c r="F33"/>
  <c r="F35"/>
  <c r="H331"/>
  <c r="H333"/>
  <c r="R133"/>
  <c r="R135"/>
  <c r="K293"/>
  <c r="J227"/>
  <c r="I194"/>
  <c r="I195"/>
  <c r="P325"/>
  <c r="K331"/>
  <c r="K333"/>
  <c r="O331"/>
  <c r="O333"/>
  <c r="H233"/>
  <c r="H235"/>
  <c r="F233"/>
  <c r="F235"/>
  <c r="O167"/>
  <c r="O169"/>
  <c r="T65"/>
  <c r="T67"/>
  <c r="T233"/>
  <c r="T235"/>
  <c r="R299"/>
  <c r="R301"/>
  <c r="I58"/>
  <c r="I59"/>
  <c r="I315"/>
  <c r="I331"/>
  <c r="I333"/>
  <c r="P299"/>
  <c r="P301"/>
  <c r="J100"/>
  <c r="J102"/>
  <c r="P100"/>
  <c r="P102"/>
  <c r="S65"/>
  <c r="S67"/>
  <c r="T167"/>
  <c r="T169"/>
  <c r="G33"/>
  <c r="G35"/>
  <c r="T331"/>
  <c r="T333"/>
  <c r="J133"/>
  <c r="J135"/>
  <c r="O299"/>
  <c r="O301"/>
  <c r="J299"/>
  <c r="J301"/>
  <c r="I93"/>
  <c r="I94"/>
  <c r="O100"/>
  <c r="O102"/>
  <c r="I292"/>
  <c r="I293"/>
  <c r="G133"/>
  <c r="G135"/>
  <c r="I115"/>
  <c r="N100"/>
  <c r="N102"/>
  <c r="N94"/>
  <c r="J161"/>
  <c r="I258"/>
  <c r="I259"/>
  <c r="I248"/>
  <c r="I249"/>
  <c r="Q233"/>
  <c r="Q235"/>
  <c r="O133"/>
  <c r="O135"/>
  <c r="N65"/>
  <c r="N67"/>
  <c r="K59"/>
  <c r="K65"/>
  <c r="K67"/>
  <c r="O27"/>
  <c r="O33"/>
  <c r="O35"/>
  <c r="Q161"/>
  <c r="Q167"/>
  <c r="Q169"/>
  <c r="S299"/>
  <c r="S301"/>
  <c r="O59"/>
  <c r="O65"/>
  <c r="O67"/>
  <c r="H315"/>
  <c r="J65"/>
  <c r="J67"/>
  <c r="R265"/>
  <c r="R267"/>
  <c r="S27"/>
  <c r="S33"/>
  <c r="S35"/>
  <c r="R227"/>
  <c r="R233"/>
  <c r="R235"/>
  <c r="H133"/>
  <c r="H135"/>
  <c r="H127"/>
  <c r="N27"/>
  <c r="N33"/>
  <c r="N35"/>
  <c r="Q331"/>
  <c r="Q333"/>
  <c r="Q325"/>
  <c r="R161"/>
  <c r="R167"/>
  <c r="R169"/>
  <c r="O259"/>
  <c r="O265"/>
  <c r="O267"/>
  <c r="N127"/>
  <c r="N133"/>
  <c r="N135"/>
  <c r="Q127"/>
  <c r="Q133"/>
  <c r="Q135"/>
  <c r="R65"/>
  <c r="R67"/>
  <c r="R59"/>
  <c r="R27"/>
  <c r="R33"/>
  <c r="R35"/>
  <c r="P233"/>
  <c r="P235"/>
  <c r="N233"/>
  <c r="N235"/>
  <c r="F127"/>
  <c r="F133"/>
  <c r="F135"/>
  <c r="P65"/>
  <c r="P67"/>
  <c r="P59"/>
  <c r="P133"/>
  <c r="P135"/>
  <c r="Q59"/>
  <c r="Q65"/>
  <c r="Q67"/>
  <c r="Q27"/>
  <c r="Q33"/>
  <c r="Q35"/>
  <c r="F201"/>
  <c r="F203"/>
  <c r="F184"/>
  <c r="H94"/>
  <c r="H100"/>
  <c r="H102"/>
  <c r="H161"/>
  <c r="H167"/>
  <c r="H169"/>
  <c r="F325"/>
  <c r="F331"/>
  <c r="F333"/>
  <c r="F293"/>
  <c r="F299"/>
  <c r="F301"/>
  <c r="R201"/>
  <c r="R203"/>
  <c r="Q195"/>
  <c r="Q201"/>
  <c r="Q203"/>
  <c r="H59"/>
  <c r="H65"/>
  <c r="H67"/>
  <c r="G315"/>
  <c r="G331"/>
  <c r="G333"/>
  <c r="O195"/>
  <c r="O201"/>
  <c r="O203"/>
  <c r="F59"/>
  <c r="F65"/>
  <c r="F67"/>
  <c r="N195"/>
  <c r="N201"/>
  <c r="N203"/>
  <c r="L293"/>
  <c r="L299"/>
  <c r="L301"/>
  <c r="T94"/>
  <c r="T100"/>
  <c r="T102"/>
  <c r="Q293"/>
  <c r="Q299"/>
  <c r="Q301"/>
  <c r="F94"/>
  <c r="F100"/>
  <c r="F102"/>
  <c r="P195"/>
  <c r="P201"/>
  <c r="P203"/>
  <c r="T283"/>
  <c r="T299"/>
  <c r="T301"/>
  <c r="I226"/>
  <c r="I233"/>
  <c r="I235"/>
  <c r="I282"/>
  <c r="G283"/>
  <c r="G299"/>
  <c r="G301"/>
  <c r="N283"/>
  <c r="N299"/>
  <c r="N301"/>
  <c r="F151"/>
  <c r="F167"/>
  <c r="F169"/>
  <c r="I65"/>
  <c r="I67"/>
  <c r="W299"/>
  <c r="I265"/>
  <c r="I267"/>
  <c r="I201"/>
  <c r="X115"/>
  <c r="I167"/>
  <c r="I169"/>
  <c r="I33"/>
  <c r="I35"/>
  <c r="I100"/>
  <c r="I102"/>
  <c r="I116"/>
  <c r="V115"/>
  <c r="I133"/>
  <c r="I135"/>
  <c r="I203"/>
  <c r="I227"/>
  <c r="I283"/>
  <c r="V299"/>
  <c r="I299"/>
  <c r="I301"/>
</calcChain>
</file>

<file path=xl/sharedStrings.xml><?xml version="1.0" encoding="utf-8"?>
<sst xmlns="http://schemas.openxmlformats.org/spreadsheetml/2006/main" count="564" uniqueCount="114">
  <si>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</si>
  <si>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</si>
  <si>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</si>
  <si>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</si>
  <si>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</si>
  <si>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</si>
  <si>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</si>
  <si>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</si>
  <si>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</si>
  <si>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</si>
  <si>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</si>
  <si>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</si>
  <si>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</si>
  <si>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</si>
  <si>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</si>
  <si>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</si>
  <si>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</si>
  <si>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</si>
  <si>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</si>
  <si>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</si>
  <si>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</si>
  <si>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</si>
  <si>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Каша гречневая  рассыпчатая с маслом</t>
  </si>
  <si>
    <t>Итого за Завтрак мясной</t>
  </si>
  <si>
    <t>Завтрак молочный</t>
  </si>
  <si>
    <t>Итого за Завтрак молочный</t>
  </si>
  <si>
    <t>Обед (полноценный рацион питания)</t>
  </si>
  <si>
    <t>Итого за Обед (полноценный рацион питания)</t>
  </si>
  <si>
    <t>Полдник</t>
  </si>
  <si>
    <t>Итого за Полдник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</si>
  <si>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</si>
  <si>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</si>
  <si>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</si>
  <si>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</si>
  <si>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</si>
  <si>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</si>
  <si>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</si>
  <si>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</si>
  <si>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</si>
  <si>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</si>
  <si>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</si>
  <si>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</si>
  <si>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</si>
  <si>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Чай с лимоном</t>
  </si>
  <si>
    <t>Хлеб ржано-пшеничный</t>
  </si>
  <si>
    <t xml:space="preserve">Картофельное пюре с маслом сливочным </t>
  </si>
  <si>
    <t>Компот из быстрозамороженных ягод  (компотная смесь)</t>
  </si>
  <si>
    <t>Плов  с  птицей</t>
  </si>
  <si>
    <t xml:space="preserve">Жаркое по- домашнему </t>
  </si>
  <si>
    <t>Хлеб пшеничный</t>
  </si>
  <si>
    <t xml:space="preserve">Рацион: Школа </t>
  </si>
  <si>
    <t>Рацион: Школа</t>
  </si>
  <si>
    <t>В2</t>
  </si>
  <si>
    <t>ZN</t>
  </si>
  <si>
    <t>I</t>
  </si>
  <si>
    <t xml:space="preserve">I </t>
  </si>
  <si>
    <t>Итого в день</t>
  </si>
  <si>
    <t>% от суточной нормы</t>
  </si>
  <si>
    <t>суточная норма</t>
  </si>
  <si>
    <t>Приложение 8 к СанПиН 2.3/2.4.3590-20</t>
  </si>
  <si>
    <t>ПР</t>
  </si>
  <si>
    <t>Рекомендуется использование продуктов и сырья по ГОСТам на детскую продукцию для питания детей старше 3-х лет и на специализированное сырье для производства продукции детского питания.</t>
  </si>
  <si>
    <t>среднее ЭЦ  завтраки 2 нед</t>
  </si>
  <si>
    <t>среднее ЭЦ обеды 2 нед</t>
  </si>
  <si>
    <t>среднее ЭЦ полдник 2 нед</t>
  </si>
  <si>
    <t>*Итого за Завтрак (осенний период)</t>
  </si>
  <si>
    <t>Сыр твердо-мягкий порционно с м.д.ж. 45%</t>
  </si>
  <si>
    <t>Борщ "Сибирский" с фасолью</t>
  </si>
  <si>
    <t>Макаронные изделия отварные с маслом сливочным</t>
  </si>
  <si>
    <t>Котлета "Куриная"</t>
  </si>
  <si>
    <t>№ рец. по сборнику</t>
  </si>
  <si>
    <t>ПРИМЕЧАНИЕ  ** могут быть использованы нектары,морсы, напитки сокосодержащие (в т.ч. обогащенные)</t>
  </si>
  <si>
    <t>Салат из белокачанной капусты с морковью</t>
  </si>
  <si>
    <t>Бифштекс рубленый "Детский" (в соответствии с ГОСТ Р 55366-2012)</t>
  </si>
  <si>
    <t>Палочки мясные "Детские" запеченые (в соответствии с ГОСТ Р 55366-2012)</t>
  </si>
  <si>
    <t>Суп картофельный с горохом на м/б</t>
  </si>
  <si>
    <t>Котлета " Школьная" запеченная (в соответствии с ГОСТ Р 55366-2012)</t>
  </si>
  <si>
    <t>Суп картофельный с макаронными изделиями на м/б</t>
  </si>
  <si>
    <t xml:space="preserve">Компот из смеси сухофруктов     </t>
  </si>
  <si>
    <t>Пудинг творожный</t>
  </si>
  <si>
    <t>Сгущенное молоко</t>
  </si>
  <si>
    <t>Борщ со свежей капустой на м/б</t>
  </si>
  <si>
    <t xml:space="preserve">Рис отварной с маслом сливочным </t>
  </si>
  <si>
    <t>Суп картофельный с рыбными консервами</t>
  </si>
  <si>
    <t>Птица, порционная  с овощами</t>
  </si>
  <si>
    <t>Суп картофельный (с крупой) на м/б</t>
  </si>
  <si>
    <t>Щи из свежей капусты на м/б</t>
  </si>
  <si>
    <t xml:space="preserve">Фрукт порционно </t>
  </si>
  <si>
    <t>Кондитерское изделие</t>
  </si>
  <si>
    <t>Напиток апельсиновый</t>
  </si>
  <si>
    <t>Салат из свежей капусты   "Молодость"</t>
  </si>
  <si>
    <t xml:space="preserve">Каша рисовая молочная с маслом сливочным </t>
  </si>
  <si>
    <t>Каша манная молочная с маслом сливочным</t>
  </si>
  <si>
    <t>Салат "Витаминный"</t>
  </si>
  <si>
    <t>Молоко ''Авишка''</t>
  </si>
  <si>
    <t xml:space="preserve">Рыба, запеченная с овощами </t>
  </si>
  <si>
    <t>Перспективное меню и пищевая ценность приготовляемых блюд</t>
  </si>
  <si>
    <t>Напиток лимонный</t>
  </si>
  <si>
    <t>Холодная закуска: Овощи порционно / Огурец  свежий</t>
  </si>
  <si>
    <t>Икра кабачковая</t>
  </si>
  <si>
    <t>Холодная закуска: Овощи порционно / помидор свежий</t>
  </si>
  <si>
    <t>Гуляш мясной 80/20</t>
  </si>
  <si>
    <t>Кукуруза консервированная</t>
  </si>
  <si>
    <t>Холодная закуска: Овощи порционно / Помидор  свежий</t>
  </si>
  <si>
    <t>Салат из свеклы с маслом растительным</t>
  </si>
  <si>
    <t xml:space="preserve">Салат из  свежих помидоров и огурцов с растительным маслом </t>
  </si>
  <si>
    <t>Блинчики с начинкой п/ф</t>
  </si>
  <si>
    <t>Бутерброд с  сыром 30/15</t>
  </si>
  <si>
    <t>Макаронные изделия отварные с сыром</t>
  </si>
  <si>
    <t>Йогурт</t>
  </si>
  <si>
    <t>Холодная закуска: Овощи порционно / Огурец и помидор</t>
  </si>
  <si>
    <t xml:space="preserve">Завтрак </t>
  </si>
  <si>
    <t>Каша пшенная с маслом сливочным</t>
  </si>
  <si>
    <t>7-11 лет;12 и старше</t>
  </si>
</sst>
</file>

<file path=xl/styles.xml><?xml version="1.0" encoding="utf-8"?>
<styleSheet xmlns="http://schemas.openxmlformats.org/spreadsheetml/2006/main">
  <numFmts count="4">
    <numFmt numFmtId="182" formatCode="0.0"/>
    <numFmt numFmtId="184" formatCode="0.000"/>
    <numFmt numFmtId="185" formatCode="0.0000"/>
    <numFmt numFmtId="193" formatCode="0.0%"/>
  </numFmts>
  <fonts count="15"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265">
    <xf numFmtId="0" fontId="0" fillId="0" borderId="0" xfId="0"/>
    <xf numFmtId="0" fontId="5" fillId="0" borderId="0" xfId="0" applyFont="1"/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4" fillId="4" borderId="0" xfId="0" applyFont="1" applyFill="1" applyAlignment="1">
      <alignment horizontal="left"/>
    </xf>
    <xf numFmtId="1" fontId="5" fillId="4" borderId="0" xfId="0" applyNumberFormat="1" applyFont="1" applyFill="1" applyAlignment="1">
      <alignment horizontal="left"/>
    </xf>
    <xf numFmtId="10" fontId="5" fillId="0" borderId="0" xfId="0" applyNumberFormat="1" applyFont="1"/>
    <xf numFmtId="0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 indent="1"/>
    </xf>
    <xf numFmtId="0" fontId="5" fillId="4" borderId="1" xfId="0" applyNumberFormat="1" applyFont="1" applyFill="1" applyBorder="1" applyAlignment="1">
      <alignment horizontal="right"/>
    </xf>
    <xf numFmtId="0" fontId="4" fillId="4" borderId="1" xfId="0" applyNumberFormat="1" applyFont="1" applyFill="1" applyBorder="1" applyAlignment="1">
      <alignment horizontal="left"/>
    </xf>
    <xf numFmtId="0" fontId="5" fillId="4" borderId="1" xfId="0" applyFont="1" applyFill="1" applyBorder="1"/>
    <xf numFmtId="0" fontId="5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5" fillId="4" borderId="2" xfId="0" applyNumberFormat="1" applyFont="1" applyFill="1" applyBorder="1" applyAlignment="1">
      <alignment horizontal="right"/>
    </xf>
    <xf numFmtId="0" fontId="5" fillId="4" borderId="2" xfId="0" applyFont="1" applyFill="1" applyBorder="1"/>
    <xf numFmtId="0" fontId="5" fillId="4" borderId="2" xfId="0" applyNumberFormat="1" applyFont="1" applyFill="1" applyBorder="1" applyAlignment="1">
      <alignment horizontal="center"/>
    </xf>
    <xf numFmtId="0" fontId="5" fillId="4" borderId="2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 indent="1"/>
    </xf>
    <xf numFmtId="0" fontId="4" fillId="4" borderId="2" xfId="0" applyNumberFormat="1" applyFont="1" applyFill="1" applyBorder="1" applyAlignment="1">
      <alignment horizontal="left"/>
    </xf>
    <xf numFmtId="2" fontId="4" fillId="4" borderId="2" xfId="0" applyNumberFormat="1" applyFont="1" applyFill="1" applyBorder="1" applyAlignment="1">
      <alignment horizontal="left" indent="1"/>
    </xf>
    <xf numFmtId="0" fontId="0" fillId="4" borderId="2" xfId="0" applyFill="1" applyBorder="1" applyAlignment="1">
      <alignment horizontal="left"/>
    </xf>
    <xf numFmtId="184" fontId="5" fillId="4" borderId="1" xfId="0" applyNumberFormat="1" applyFont="1" applyFill="1" applyBorder="1" applyAlignment="1">
      <alignment horizontal="center" vertical="top"/>
    </xf>
    <xf numFmtId="184" fontId="5" fillId="4" borderId="2" xfId="0" applyNumberFormat="1" applyFont="1" applyFill="1" applyBorder="1" applyAlignment="1">
      <alignment horizontal="center" vertical="top"/>
    </xf>
    <xf numFmtId="1" fontId="5" fillId="4" borderId="3" xfId="0" applyNumberFormat="1" applyFont="1" applyFill="1" applyBorder="1" applyAlignment="1">
      <alignment horizontal="center"/>
    </xf>
    <xf numFmtId="182" fontId="4" fillId="4" borderId="3" xfId="0" applyNumberFormat="1" applyFont="1" applyFill="1" applyBorder="1" applyAlignment="1">
      <alignment horizontal="center" vertical="top"/>
    </xf>
    <xf numFmtId="2" fontId="4" fillId="4" borderId="2" xfId="0" applyNumberFormat="1" applyFont="1" applyFill="1" applyBorder="1" applyAlignment="1">
      <alignment horizontal="center" vertical="top"/>
    </xf>
    <xf numFmtId="2" fontId="4" fillId="4" borderId="1" xfId="0" applyNumberFormat="1" applyFont="1" applyFill="1" applyBorder="1" applyAlignment="1">
      <alignment horizontal="center" vertical="top"/>
    </xf>
    <xf numFmtId="0" fontId="4" fillId="4" borderId="3" xfId="0" applyNumberFormat="1" applyFont="1" applyFill="1" applyBorder="1" applyAlignment="1">
      <alignment horizontal="center" vertical="top"/>
    </xf>
    <xf numFmtId="9" fontId="4" fillId="4" borderId="3" xfId="0" applyNumberFormat="1" applyFont="1" applyFill="1" applyBorder="1" applyAlignment="1">
      <alignment horizontal="center" vertical="top"/>
    </xf>
    <xf numFmtId="9" fontId="4" fillId="4" borderId="1" xfId="0" applyNumberFormat="1" applyFont="1" applyFill="1" applyBorder="1" applyAlignment="1">
      <alignment horizontal="center" vertical="top"/>
    </xf>
    <xf numFmtId="9" fontId="4" fillId="4" borderId="2" xfId="0" applyNumberFormat="1" applyFont="1" applyFill="1" applyBorder="1" applyAlignment="1">
      <alignment horizontal="center" vertical="top"/>
    </xf>
    <xf numFmtId="182" fontId="4" fillId="4" borderId="1" xfId="0" applyNumberFormat="1" applyFont="1" applyFill="1" applyBorder="1" applyAlignment="1">
      <alignment horizontal="center" vertical="top"/>
    </xf>
    <xf numFmtId="2" fontId="4" fillId="4" borderId="4" xfId="0" applyNumberFormat="1" applyFont="1" applyFill="1" applyBorder="1" applyAlignment="1">
      <alignment horizontal="center" vertical="top"/>
    </xf>
    <xf numFmtId="193" fontId="4" fillId="4" borderId="1" xfId="0" applyNumberFormat="1" applyFont="1" applyFill="1" applyBorder="1" applyAlignment="1">
      <alignment horizontal="center" vertical="top"/>
    </xf>
    <xf numFmtId="193" fontId="4" fillId="4" borderId="2" xfId="0" applyNumberFormat="1" applyFont="1" applyFill="1" applyBorder="1" applyAlignment="1">
      <alignment horizontal="center" vertical="top"/>
    </xf>
    <xf numFmtId="182" fontId="5" fillId="0" borderId="0" xfId="0" applyNumberFormat="1" applyFont="1" applyFill="1" applyBorder="1" applyAlignment="1">
      <alignment horizontal="center" vertical="top"/>
    </xf>
    <xf numFmtId="0" fontId="5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182" fontId="4" fillId="4" borderId="4" xfId="0" applyNumberFormat="1" applyFont="1" applyFill="1" applyBorder="1" applyAlignment="1">
      <alignment horizontal="center" vertical="top"/>
    </xf>
    <xf numFmtId="0" fontId="4" fillId="4" borderId="3" xfId="0" applyFont="1" applyFill="1" applyBorder="1" applyAlignment="1"/>
    <xf numFmtId="2" fontId="4" fillId="4" borderId="5" xfId="0" applyNumberFormat="1" applyFont="1" applyFill="1" applyBorder="1" applyAlignment="1"/>
    <xf numFmtId="2" fontId="4" fillId="4" borderId="6" xfId="0" applyNumberFormat="1" applyFont="1" applyFill="1" applyBorder="1" applyAlignment="1"/>
    <xf numFmtId="0" fontId="5" fillId="4" borderId="0" xfId="0" applyFont="1" applyFill="1"/>
    <xf numFmtId="2" fontId="5" fillId="4" borderId="1" xfId="0" applyNumberFormat="1" applyFont="1" applyFill="1" applyBorder="1" applyAlignment="1">
      <alignment horizontal="center" vertical="top"/>
    </xf>
    <xf numFmtId="2" fontId="5" fillId="4" borderId="2" xfId="0" applyNumberFormat="1" applyFont="1" applyFill="1" applyBorder="1" applyAlignment="1">
      <alignment horizontal="center" vertical="top"/>
    </xf>
    <xf numFmtId="10" fontId="4" fillId="4" borderId="3" xfId="0" applyNumberFormat="1" applyFont="1" applyFill="1" applyBorder="1" applyAlignment="1">
      <alignment horizontal="center" vertical="top"/>
    </xf>
    <xf numFmtId="2" fontId="5" fillId="4" borderId="3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/>
    </xf>
    <xf numFmtId="0" fontId="8" fillId="0" borderId="0" xfId="0" applyFont="1"/>
    <xf numFmtId="0" fontId="10" fillId="4" borderId="0" xfId="0" applyFont="1" applyFill="1" applyAlignment="1">
      <alignment vertical="center"/>
    </xf>
    <xf numFmtId="0" fontId="10" fillId="4" borderId="1" xfId="0" applyFont="1" applyFill="1" applyBorder="1" applyAlignment="1">
      <alignment vertical="center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/>
    </xf>
    <xf numFmtId="2" fontId="5" fillId="4" borderId="0" xfId="0" applyNumberFormat="1" applyFont="1" applyFill="1" applyAlignment="1">
      <alignment horizontal="left"/>
    </xf>
    <xf numFmtId="2" fontId="10" fillId="4" borderId="0" xfId="0" applyNumberFormat="1" applyFont="1" applyFill="1" applyAlignment="1">
      <alignment vertical="center"/>
    </xf>
    <xf numFmtId="1" fontId="4" fillId="4" borderId="7" xfId="0" applyNumberFormat="1" applyFont="1" applyFill="1" applyBorder="1" applyAlignment="1"/>
    <xf numFmtId="0" fontId="5" fillId="4" borderId="2" xfId="0" applyNumberFormat="1" applyFont="1" applyFill="1" applyBorder="1" applyAlignment="1">
      <alignment horizontal="center" wrapText="1"/>
    </xf>
    <xf numFmtId="10" fontId="4" fillId="4" borderId="3" xfId="7" applyNumberFormat="1" applyFont="1" applyFill="1" applyBorder="1"/>
    <xf numFmtId="193" fontId="4" fillId="4" borderId="4" xfId="7" applyNumberFormat="1" applyFont="1" applyFill="1" applyBorder="1"/>
    <xf numFmtId="193" fontId="4" fillId="4" borderId="0" xfId="7" applyNumberFormat="1" applyFont="1" applyFill="1"/>
    <xf numFmtId="0" fontId="4" fillId="4" borderId="0" xfId="0" applyFont="1" applyFill="1" applyBorder="1" applyAlignment="1">
      <alignment horizontal="left"/>
    </xf>
    <xf numFmtId="2" fontId="5" fillId="3" borderId="8" xfId="1" applyNumberFormat="1" applyFont="1" applyFill="1" applyBorder="1" applyAlignment="1">
      <alignment horizontal="center" vertical="top"/>
    </xf>
    <xf numFmtId="0" fontId="0" fillId="3" borderId="0" xfId="0" applyFont="1" applyFill="1"/>
    <xf numFmtId="1" fontId="5" fillId="3" borderId="8" xfId="1" applyNumberFormat="1" applyFont="1" applyFill="1" applyBorder="1" applyAlignment="1">
      <alignment horizontal="center" vertical="center"/>
    </xf>
    <xf numFmtId="0" fontId="5" fillId="3" borderId="8" xfId="1" applyNumberFormat="1" applyFont="1" applyFill="1" applyBorder="1" applyAlignment="1">
      <alignment horizontal="center" vertical="top"/>
    </xf>
    <xf numFmtId="1" fontId="5" fillId="3" borderId="8" xfId="1" applyNumberFormat="1" applyFont="1" applyFill="1" applyBorder="1" applyAlignment="1">
      <alignment horizontal="center" vertical="top"/>
    </xf>
    <xf numFmtId="2" fontId="5" fillId="0" borderId="0" xfId="0" applyNumberFormat="1" applyFont="1"/>
    <xf numFmtId="0" fontId="5" fillId="4" borderId="0" xfId="0" applyFont="1" applyFill="1"/>
    <xf numFmtId="2" fontId="4" fillId="4" borderId="2" xfId="0" applyNumberFormat="1" applyFont="1" applyFill="1" applyBorder="1" applyAlignment="1">
      <alignment horizontal="center" vertical="top"/>
    </xf>
    <xf numFmtId="182" fontId="4" fillId="4" borderId="2" xfId="0" applyNumberFormat="1" applyFont="1" applyFill="1" applyBorder="1" applyAlignment="1">
      <alignment horizontal="center" vertical="top"/>
    </xf>
    <xf numFmtId="182" fontId="4" fillId="4" borderId="1" xfId="0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center" vertical="top"/>
    </xf>
    <xf numFmtId="2" fontId="5" fillId="4" borderId="2" xfId="0" applyNumberFormat="1" applyFont="1" applyFill="1" applyBorder="1" applyAlignment="1">
      <alignment horizontal="center" vertical="top"/>
    </xf>
    <xf numFmtId="2" fontId="5" fillId="4" borderId="3" xfId="0" applyNumberFormat="1" applyFont="1" applyFill="1" applyBorder="1" applyAlignment="1">
      <alignment horizontal="center" vertical="top" wrapText="1"/>
    </xf>
    <xf numFmtId="1" fontId="5" fillId="2" borderId="3" xfId="1" applyNumberFormat="1" applyFont="1" applyFill="1" applyBorder="1" applyAlignment="1">
      <alignment horizontal="center" vertical="top"/>
    </xf>
    <xf numFmtId="2" fontId="5" fillId="2" borderId="3" xfId="1" applyNumberFormat="1" applyFont="1" applyFill="1" applyBorder="1" applyAlignment="1">
      <alignment horizontal="center" vertical="top"/>
    </xf>
    <xf numFmtId="0" fontId="5" fillId="2" borderId="3" xfId="1" applyNumberFormat="1" applyFont="1" applyFill="1" applyBorder="1" applyAlignment="1">
      <alignment horizontal="center" vertical="top"/>
    </xf>
    <xf numFmtId="182" fontId="5" fillId="2" borderId="3" xfId="1" applyNumberFormat="1" applyFont="1" applyFill="1" applyBorder="1" applyAlignment="1">
      <alignment horizontal="center" vertical="top"/>
    </xf>
    <xf numFmtId="184" fontId="5" fillId="2" borderId="3" xfId="1" applyNumberFormat="1" applyFont="1" applyFill="1" applyBorder="1" applyAlignment="1">
      <alignment horizontal="center" vertical="top"/>
    </xf>
    <xf numFmtId="0" fontId="0" fillId="0" borderId="0" xfId="0" applyFont="1"/>
    <xf numFmtId="2" fontId="4" fillId="3" borderId="9" xfId="0" applyNumberFormat="1" applyFont="1" applyFill="1" applyBorder="1" applyAlignment="1"/>
    <xf numFmtId="0" fontId="5" fillId="3" borderId="8" xfId="1" applyNumberFormat="1" applyFont="1" applyFill="1" applyBorder="1" applyAlignment="1">
      <alignment horizontal="center" vertical="center"/>
    </xf>
    <xf numFmtId="184" fontId="4" fillId="4" borderId="3" xfId="0" applyNumberFormat="1" applyFont="1" applyFill="1" applyBorder="1" applyAlignment="1"/>
    <xf numFmtId="2" fontId="4" fillId="3" borderId="10" xfId="0" applyNumberFormat="1" applyFont="1" applyFill="1" applyBorder="1" applyAlignment="1"/>
    <xf numFmtId="1" fontId="5" fillId="2" borderId="3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/>
    </xf>
    <xf numFmtId="182" fontId="5" fillId="2" borderId="3" xfId="1" applyNumberFormat="1" applyFont="1" applyFill="1" applyBorder="1" applyAlignment="1">
      <alignment horizontal="center" vertical="center"/>
    </xf>
    <xf numFmtId="184" fontId="5" fillId="2" borderId="3" xfId="1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/>
    </xf>
    <xf numFmtId="10" fontId="4" fillId="4" borderId="0" xfId="7" applyNumberFormat="1" applyFont="1" applyFill="1"/>
    <xf numFmtId="0" fontId="5" fillId="4" borderId="0" xfId="0" applyFont="1" applyFill="1"/>
    <xf numFmtId="2" fontId="5" fillId="4" borderId="1" xfId="0" applyNumberFormat="1" applyFont="1" applyFill="1" applyBorder="1" applyAlignment="1">
      <alignment horizontal="center" vertical="top"/>
    </xf>
    <xf numFmtId="2" fontId="5" fillId="4" borderId="2" xfId="0" applyNumberFormat="1" applyFont="1" applyFill="1" applyBorder="1" applyAlignment="1">
      <alignment horizontal="center" vertical="top"/>
    </xf>
    <xf numFmtId="0" fontId="5" fillId="4" borderId="0" xfId="0" applyFont="1" applyFill="1"/>
    <xf numFmtId="2" fontId="5" fillId="4" borderId="1" xfId="0" applyNumberFormat="1" applyFont="1" applyFill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left"/>
    </xf>
    <xf numFmtId="193" fontId="4" fillId="4" borderId="3" xfId="7" applyNumberFormat="1" applyFont="1" applyFill="1" applyBorder="1"/>
    <xf numFmtId="2" fontId="4" fillId="4" borderId="3" xfId="7" applyNumberFormat="1" applyFont="1" applyFill="1" applyBorder="1"/>
    <xf numFmtId="0" fontId="5" fillId="4" borderId="0" xfId="0" applyFont="1" applyFill="1"/>
    <xf numFmtId="0" fontId="5" fillId="4" borderId="0" xfId="0" applyFont="1" applyFill="1"/>
    <xf numFmtId="0" fontId="4" fillId="4" borderId="1" xfId="0" applyFont="1" applyFill="1" applyBorder="1" applyAlignment="1">
      <alignment horizontal="left" indent="1"/>
    </xf>
    <xf numFmtId="0" fontId="4" fillId="4" borderId="2" xfId="0" applyFont="1" applyFill="1" applyBorder="1" applyAlignment="1">
      <alignment horizontal="left" indent="1"/>
    </xf>
    <xf numFmtId="2" fontId="5" fillId="4" borderId="1" xfId="0" applyNumberFormat="1" applyFont="1" applyFill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 vertical="top"/>
    </xf>
    <xf numFmtId="2" fontId="5" fillId="4" borderId="2" xfId="0" applyNumberFormat="1" applyFont="1" applyFill="1" applyBorder="1" applyAlignment="1">
      <alignment horizontal="center" vertical="top"/>
    </xf>
    <xf numFmtId="0" fontId="5" fillId="4" borderId="0" xfId="0" applyFont="1" applyFill="1"/>
    <xf numFmtId="0" fontId="5" fillId="4" borderId="0" xfId="0" applyFont="1" applyFill="1"/>
    <xf numFmtId="0" fontId="5" fillId="4" borderId="0" xfId="0" applyFont="1" applyFill="1"/>
    <xf numFmtId="2" fontId="5" fillId="4" borderId="1" xfId="0" applyNumberFormat="1" applyFont="1" applyFill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 vertical="top"/>
    </xf>
    <xf numFmtId="2" fontId="5" fillId="4" borderId="2" xfId="0" applyNumberFormat="1" applyFont="1" applyFill="1" applyBorder="1" applyAlignment="1">
      <alignment horizontal="center" vertical="top"/>
    </xf>
    <xf numFmtId="10" fontId="4" fillId="4" borderId="7" xfId="0" applyNumberFormat="1" applyFont="1" applyFill="1" applyBorder="1" applyAlignment="1">
      <alignment horizontal="left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0" fontId="5" fillId="4" borderId="12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5" fillId="4" borderId="0" xfId="0" applyNumberFormat="1" applyFont="1" applyFill="1" applyAlignment="1">
      <alignment horizontal="right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3" xfId="0" applyFont="1" applyFill="1" applyBorder="1"/>
    <xf numFmtId="2" fontId="6" fillId="4" borderId="3" xfId="0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 vertical="top"/>
    </xf>
    <xf numFmtId="2" fontId="5" fillId="4" borderId="2" xfId="0" applyNumberFormat="1" applyFont="1" applyFill="1" applyBorder="1" applyAlignment="1">
      <alignment horizontal="center" vertical="top"/>
    </xf>
    <xf numFmtId="0" fontId="5" fillId="4" borderId="0" xfId="0" applyFont="1" applyFill="1"/>
    <xf numFmtId="0" fontId="5" fillId="4" borderId="3" xfId="0" applyFont="1" applyFill="1" applyBorder="1"/>
    <xf numFmtId="2" fontId="6" fillId="4" borderId="3" xfId="0" applyNumberFormat="1" applyFont="1" applyFill="1" applyBorder="1" applyAlignment="1">
      <alignment horizontal="center" vertical="top"/>
    </xf>
    <xf numFmtId="2" fontId="5" fillId="4" borderId="0" xfId="0" applyNumberFormat="1" applyFont="1" applyFill="1"/>
    <xf numFmtId="2" fontId="5" fillId="4" borderId="1" xfId="0" applyNumberFormat="1" applyFont="1" applyFill="1" applyBorder="1" applyAlignment="1">
      <alignment horizontal="center" vertical="top"/>
    </xf>
    <xf numFmtId="2" fontId="5" fillId="4" borderId="2" xfId="0" applyNumberFormat="1" applyFont="1" applyFill="1" applyBorder="1" applyAlignment="1">
      <alignment horizontal="center" vertical="top"/>
    </xf>
    <xf numFmtId="185" fontId="5" fillId="4" borderId="3" xfId="0" applyNumberFormat="1" applyFont="1" applyFill="1" applyBorder="1" applyAlignment="1">
      <alignment horizontal="center" vertical="top"/>
    </xf>
    <xf numFmtId="0" fontId="5" fillId="4" borderId="0" xfId="0" applyFont="1" applyFill="1"/>
    <xf numFmtId="0" fontId="5" fillId="4" borderId="3" xfId="0" applyFont="1" applyFill="1" applyBorder="1"/>
    <xf numFmtId="2" fontId="6" fillId="4" borderId="3" xfId="0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horizontal="center" vertical="top" wrapText="1"/>
    </xf>
    <xf numFmtId="182" fontId="4" fillId="4" borderId="3" xfId="0" applyNumberFormat="1" applyFont="1" applyFill="1" applyBorder="1" applyAlignment="1">
      <alignment horizontal="center" vertical="top"/>
    </xf>
    <xf numFmtId="2" fontId="4" fillId="4" borderId="3" xfId="0" applyNumberFormat="1" applyFont="1" applyFill="1" applyBorder="1" applyAlignment="1">
      <alignment horizontal="center" vertical="top"/>
    </xf>
    <xf numFmtId="184" fontId="4" fillId="4" borderId="3" xfId="0" applyNumberFormat="1" applyFont="1" applyFill="1" applyBorder="1" applyAlignment="1">
      <alignment horizontal="center" vertical="top"/>
    </xf>
    <xf numFmtId="2" fontId="4" fillId="4" borderId="2" xfId="0" applyNumberFormat="1" applyFont="1" applyFill="1" applyBorder="1" applyAlignment="1">
      <alignment horizontal="center" vertical="top"/>
    </xf>
    <xf numFmtId="193" fontId="4" fillId="4" borderId="3" xfId="0" applyNumberFormat="1" applyFont="1" applyFill="1" applyBorder="1" applyAlignment="1">
      <alignment horizontal="center" vertical="top"/>
    </xf>
    <xf numFmtId="182" fontId="4" fillId="4" borderId="1" xfId="0" applyNumberFormat="1" applyFont="1" applyFill="1" applyBorder="1" applyAlignment="1">
      <alignment horizontal="center" vertical="top"/>
    </xf>
    <xf numFmtId="1" fontId="4" fillId="4" borderId="3" xfId="0" applyNumberFormat="1" applyFont="1" applyFill="1" applyBorder="1" applyAlignment="1">
      <alignment horizontal="center" vertical="top"/>
    </xf>
    <xf numFmtId="0" fontId="4" fillId="4" borderId="5" xfId="0" applyFont="1" applyFill="1" applyBorder="1" applyAlignment="1"/>
    <xf numFmtId="0" fontId="4" fillId="4" borderId="6" xfId="0" applyFont="1" applyFill="1" applyBorder="1" applyAlignment="1"/>
    <xf numFmtId="1" fontId="4" fillId="4" borderId="3" xfId="0" applyNumberFormat="1" applyFont="1" applyFill="1" applyBorder="1" applyAlignment="1"/>
    <xf numFmtId="1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top"/>
    </xf>
    <xf numFmtId="182" fontId="5" fillId="4" borderId="3" xfId="0" applyNumberFormat="1" applyFont="1" applyFill="1" applyBorder="1" applyAlignment="1">
      <alignment horizontal="center" vertical="top"/>
    </xf>
    <xf numFmtId="1" fontId="5" fillId="4" borderId="3" xfId="0" applyNumberFormat="1" applyFont="1" applyFill="1" applyBorder="1" applyAlignment="1">
      <alignment horizontal="center" vertical="top"/>
    </xf>
    <xf numFmtId="2" fontId="5" fillId="4" borderId="3" xfId="0" applyNumberFormat="1" applyFont="1" applyFill="1" applyBorder="1" applyAlignment="1">
      <alignment horizontal="center" vertical="top"/>
    </xf>
    <xf numFmtId="184" fontId="5" fillId="4" borderId="3" xfId="0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center" vertical="top"/>
    </xf>
    <xf numFmtId="2" fontId="5" fillId="4" borderId="2" xfId="0" applyNumberFormat="1" applyFont="1" applyFill="1" applyBorder="1" applyAlignment="1">
      <alignment horizontal="center" vertical="top"/>
    </xf>
    <xf numFmtId="0" fontId="5" fillId="4" borderId="3" xfId="0" applyNumberFormat="1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top" wrapText="1"/>
    </xf>
    <xf numFmtId="184" fontId="5" fillId="4" borderId="3" xfId="0" applyNumberFormat="1" applyFont="1" applyFill="1" applyBorder="1" applyAlignment="1">
      <alignment horizontal="center" vertical="top" wrapText="1"/>
    </xf>
    <xf numFmtId="1" fontId="5" fillId="4" borderId="3" xfId="0" applyNumberFormat="1" applyFont="1" applyFill="1" applyBorder="1" applyAlignment="1">
      <alignment horizontal="center" vertical="top" wrapText="1"/>
    </xf>
    <xf numFmtId="10" fontId="4" fillId="4" borderId="6" xfId="0" applyNumberFormat="1" applyFont="1" applyFill="1" applyBorder="1" applyAlignment="1">
      <alignment horizontal="center" vertical="top"/>
    </xf>
    <xf numFmtId="1" fontId="5" fillId="4" borderId="3" xfId="0" applyNumberFormat="1" applyFont="1" applyFill="1" applyBorder="1" applyAlignment="1">
      <alignment horizontal="center" vertical="center"/>
    </xf>
    <xf numFmtId="10" fontId="4" fillId="4" borderId="6" xfId="0" applyNumberFormat="1" applyFont="1" applyFill="1" applyBorder="1" applyAlignment="1">
      <alignment horizontal="left"/>
    </xf>
    <xf numFmtId="3" fontId="5" fillId="4" borderId="3" xfId="0" applyNumberFormat="1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/>
    <xf numFmtId="2" fontId="5" fillId="4" borderId="3" xfId="0" applyNumberFormat="1" applyFont="1" applyFill="1" applyBorder="1" applyAlignment="1">
      <alignment horizontal="center" vertical="top" wrapText="1"/>
    </xf>
    <xf numFmtId="2" fontId="4" fillId="4" borderId="7" xfId="0" applyNumberFormat="1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 vertical="top"/>
    </xf>
    <xf numFmtId="2" fontId="12" fillId="4" borderId="2" xfId="0" applyNumberFormat="1" applyFont="1" applyFill="1" applyBorder="1" applyAlignment="1">
      <alignment horizontal="center" vertical="top"/>
    </xf>
    <xf numFmtId="0" fontId="12" fillId="4" borderId="0" xfId="0" applyFont="1" applyFill="1"/>
    <xf numFmtId="2" fontId="12" fillId="4" borderId="0" xfId="0" applyNumberFormat="1" applyFont="1" applyFill="1"/>
    <xf numFmtId="2" fontId="12" fillId="4" borderId="1" xfId="0" applyNumberFormat="1" applyFont="1" applyFill="1" applyBorder="1" applyAlignment="1">
      <alignment horizontal="center" vertical="top" wrapText="1"/>
    </xf>
    <xf numFmtId="2" fontId="12" fillId="4" borderId="2" xfId="0" applyNumberFormat="1" applyFont="1" applyFill="1" applyBorder="1" applyAlignment="1">
      <alignment horizontal="center" vertical="top" wrapText="1"/>
    </xf>
    <xf numFmtId="0" fontId="12" fillId="0" borderId="0" xfId="0" applyFont="1"/>
    <xf numFmtId="0" fontId="13" fillId="4" borderId="0" xfId="0" applyFont="1" applyFill="1" applyBorder="1" applyAlignment="1">
      <alignment horizontal="left" indent="1"/>
    </xf>
    <xf numFmtId="0" fontId="14" fillId="3" borderId="0" xfId="0" applyFont="1" applyFill="1"/>
    <xf numFmtId="0" fontId="14" fillId="4" borderId="0" xfId="0" applyFont="1" applyFill="1"/>
    <xf numFmtId="0" fontId="12" fillId="4" borderId="1" xfId="0" applyNumberFormat="1" applyFont="1" applyFill="1" applyBorder="1" applyAlignment="1">
      <alignment horizontal="center" vertical="top"/>
    </xf>
    <xf numFmtId="0" fontId="12" fillId="4" borderId="2" xfId="0" applyNumberFormat="1" applyFont="1" applyFill="1" applyBorder="1" applyAlignment="1">
      <alignment horizontal="center" vertical="top"/>
    </xf>
    <xf numFmtId="0" fontId="5" fillId="3" borderId="8" xfId="0" applyNumberFormat="1" applyFont="1" applyFill="1" applyBorder="1" applyAlignment="1">
      <alignment horizontal="center" vertical="center"/>
    </xf>
    <xf numFmtId="1" fontId="5" fillId="5" borderId="8" xfId="0" applyNumberFormat="1" applyFont="1" applyFill="1" applyBorder="1" applyAlignment="1">
      <alignment horizontal="center" vertical="top"/>
    </xf>
    <xf numFmtId="2" fontId="5" fillId="5" borderId="8" xfId="0" applyNumberFormat="1" applyFont="1" applyFill="1" applyBorder="1" applyAlignment="1">
      <alignment horizontal="center" vertical="top"/>
    </xf>
    <xf numFmtId="2" fontId="5" fillId="3" borderId="8" xfId="1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184" fontId="5" fillId="3" borderId="8" xfId="0" applyNumberFormat="1" applyFont="1" applyFill="1" applyBorder="1" applyAlignment="1">
      <alignment horizontal="center" vertical="top"/>
    </xf>
    <xf numFmtId="0" fontId="5" fillId="3" borderId="8" xfId="0" applyNumberFormat="1" applyFont="1" applyFill="1" applyBorder="1" applyAlignment="1">
      <alignment horizontal="center" vertical="top"/>
    </xf>
    <xf numFmtId="182" fontId="5" fillId="3" borderId="8" xfId="0" applyNumberFormat="1" applyFont="1" applyFill="1" applyBorder="1" applyAlignment="1">
      <alignment horizontal="center" vertical="top"/>
    </xf>
    <xf numFmtId="2" fontId="4" fillId="4" borderId="7" xfId="0" applyNumberFormat="1" applyFont="1" applyFill="1" applyBorder="1" applyAlignment="1"/>
    <xf numFmtId="3" fontId="5" fillId="3" borderId="8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5" xfId="0" applyNumberFormat="1" applyFont="1" applyFill="1" applyBorder="1" applyAlignment="1">
      <alignment horizontal="left" vertical="center" wrapText="1"/>
    </xf>
    <xf numFmtId="0" fontId="5" fillId="4" borderId="7" xfId="0" applyNumberFormat="1" applyFont="1" applyFill="1" applyBorder="1" applyAlignment="1">
      <alignment horizontal="left" vertical="center" wrapText="1"/>
    </xf>
    <xf numFmtId="0" fontId="5" fillId="4" borderId="3" xfId="0" applyNumberFormat="1" applyFont="1" applyFill="1" applyBorder="1" applyAlignment="1">
      <alignment horizontal="left" vertical="center" wrapText="1"/>
    </xf>
    <xf numFmtId="2" fontId="5" fillId="4" borderId="5" xfId="0" applyNumberFormat="1" applyFont="1" applyFill="1" applyBorder="1" applyAlignment="1">
      <alignment horizontal="left" vertical="center" wrapText="1"/>
    </xf>
    <xf numFmtId="2" fontId="5" fillId="4" borderId="7" xfId="0" applyNumberFormat="1" applyFont="1" applyFill="1" applyBorder="1" applyAlignment="1">
      <alignment horizontal="left" vertical="center" wrapText="1"/>
    </xf>
    <xf numFmtId="0" fontId="5" fillId="3" borderId="8" xfId="1" applyNumberFormat="1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10" fontId="4" fillId="4" borderId="5" xfId="0" applyNumberFormat="1" applyFont="1" applyFill="1" applyBorder="1" applyAlignment="1">
      <alignment horizontal="left"/>
    </xf>
    <xf numFmtId="10" fontId="4" fillId="4" borderId="6" xfId="0" applyNumberFormat="1" applyFont="1" applyFill="1" applyBorder="1" applyAlignment="1">
      <alignment horizontal="left"/>
    </xf>
    <xf numFmtId="10" fontId="4" fillId="4" borderId="7" xfId="0" applyNumberFormat="1" applyFont="1" applyFill="1" applyBorder="1" applyAlignment="1">
      <alignment horizontal="left"/>
    </xf>
    <xf numFmtId="0" fontId="5" fillId="2" borderId="6" xfId="1" applyNumberFormat="1" applyFont="1" applyFill="1" applyBorder="1" applyAlignment="1">
      <alignment horizontal="left" vertical="center" wrapText="1"/>
    </xf>
    <xf numFmtId="0" fontId="5" fillId="2" borderId="7" xfId="1" applyNumberFormat="1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indent="1"/>
    </xf>
    <xf numFmtId="0" fontId="4" fillId="4" borderId="6" xfId="0" applyFont="1" applyFill="1" applyBorder="1" applyAlignment="1">
      <alignment horizontal="left" indent="1"/>
    </xf>
    <xf numFmtId="0" fontId="4" fillId="4" borderId="7" xfId="0" applyFont="1" applyFill="1" applyBorder="1" applyAlignment="1">
      <alignment horizontal="left" indent="1"/>
    </xf>
    <xf numFmtId="0" fontId="5" fillId="4" borderId="0" xfId="0" applyNumberFormat="1" applyFont="1" applyFill="1" applyAlignment="1">
      <alignment horizontal="right"/>
    </xf>
    <xf numFmtId="0" fontId="4" fillId="4" borderId="0" xfId="0" applyNumberFormat="1" applyFont="1" applyFill="1" applyAlignment="1">
      <alignment horizontal="right"/>
    </xf>
    <xf numFmtId="0" fontId="4" fillId="4" borderId="3" xfId="0" applyFont="1" applyFill="1" applyBorder="1" applyAlignment="1">
      <alignment horizontal="left" indent="1"/>
    </xf>
    <xf numFmtId="2" fontId="5" fillId="4" borderId="3" xfId="0" applyNumberFormat="1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left" vertical="center" wrapText="1"/>
    </xf>
    <xf numFmtId="2" fontId="5" fillId="3" borderId="8" xfId="1" applyNumberFormat="1" applyFont="1" applyFill="1" applyBorder="1" applyAlignment="1">
      <alignment horizontal="left" vertical="center" wrapText="1"/>
    </xf>
    <xf numFmtId="0" fontId="5" fillId="3" borderId="18" xfId="1" applyNumberFormat="1" applyFont="1" applyFill="1" applyBorder="1" applyAlignment="1">
      <alignment horizontal="left" vertical="center" wrapText="1"/>
    </xf>
    <xf numFmtId="0" fontId="5" fillId="3" borderId="9" xfId="1" applyNumberFormat="1" applyFont="1" applyFill="1" applyBorder="1" applyAlignment="1">
      <alignment horizontal="left" vertical="center" wrapText="1"/>
    </xf>
    <xf numFmtId="1" fontId="5" fillId="4" borderId="5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 wrapText="1"/>
    </xf>
    <xf numFmtId="0" fontId="5" fillId="4" borderId="6" xfId="0" applyNumberFormat="1" applyFont="1" applyFill="1" applyBorder="1" applyAlignment="1">
      <alignment horizontal="center"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left" vertical="center" wrapText="1"/>
    </xf>
    <xf numFmtId="0" fontId="4" fillId="4" borderId="22" xfId="0" applyNumberFormat="1" applyFont="1" applyFill="1" applyBorder="1" applyAlignment="1">
      <alignment horizontal="right"/>
    </xf>
    <xf numFmtId="2" fontId="5" fillId="3" borderId="18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4" borderId="0" xfId="0" applyNumberFormat="1" applyFont="1" applyFill="1" applyAlignment="1">
      <alignment horizontal="left"/>
    </xf>
    <xf numFmtId="0" fontId="5" fillId="4" borderId="2" xfId="0" applyNumberFormat="1" applyFont="1" applyFill="1" applyBorder="1" applyAlignment="1">
      <alignment horizontal="center" wrapText="1"/>
    </xf>
    <xf numFmtId="0" fontId="3" fillId="4" borderId="0" xfId="0" applyNumberFormat="1" applyFont="1" applyFill="1" applyAlignment="1">
      <alignment horizontal="center"/>
    </xf>
    <xf numFmtId="0" fontId="5" fillId="4" borderId="0" xfId="0" applyNumberFormat="1" applyFont="1" applyFill="1" applyAlignment="1">
      <alignment horizontal="center"/>
    </xf>
    <xf numFmtId="0" fontId="5" fillId="4" borderId="12" xfId="0" applyNumberFormat="1" applyFont="1" applyFill="1" applyBorder="1" applyAlignment="1">
      <alignment horizontal="center" vertical="center" wrapText="1"/>
    </xf>
    <xf numFmtId="0" fontId="5" fillId="4" borderId="19" xfId="0" applyNumberFormat="1" applyFont="1" applyFill="1" applyBorder="1" applyAlignment="1">
      <alignment horizontal="center" vertical="center" wrapText="1"/>
    </xf>
    <xf numFmtId="0" fontId="5" fillId="4" borderId="20" xfId="0" applyNumberFormat="1" applyFont="1" applyFill="1" applyBorder="1" applyAlignment="1">
      <alignment horizontal="center" vertical="center" wrapText="1"/>
    </xf>
    <xf numFmtId="0" fontId="5" fillId="4" borderId="21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wrapText="1"/>
    </xf>
    <xf numFmtId="0" fontId="4" fillId="4" borderId="2" xfId="0" applyNumberFormat="1" applyFont="1" applyFill="1" applyBorder="1" applyAlignment="1">
      <alignment horizontal="center" wrapText="1"/>
    </xf>
    <xf numFmtId="0" fontId="4" fillId="4" borderId="11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11" xfId="0" applyNumberFormat="1" applyFont="1" applyFill="1" applyBorder="1" applyAlignment="1">
      <alignment horizontal="center" wrapText="1"/>
    </xf>
    <xf numFmtId="0" fontId="5" fillId="4" borderId="5" xfId="1" applyNumberFormat="1" applyFont="1" applyFill="1" applyBorder="1" applyAlignment="1">
      <alignment horizontal="left" vertical="center" wrapText="1"/>
    </xf>
    <xf numFmtId="2" fontId="4" fillId="4" borderId="5" xfId="0" applyNumberFormat="1" applyFont="1" applyFill="1" applyBorder="1" applyAlignment="1">
      <alignment horizontal="left" indent="1"/>
    </xf>
    <xf numFmtId="2" fontId="4" fillId="4" borderId="6" xfId="0" applyNumberFormat="1" applyFont="1" applyFill="1" applyBorder="1" applyAlignment="1">
      <alignment horizontal="left" indent="1"/>
    </xf>
    <xf numFmtId="2" fontId="4" fillId="4" borderId="7" xfId="0" applyNumberFormat="1" applyFont="1" applyFill="1" applyBorder="1" applyAlignment="1">
      <alignment horizontal="left" indent="1"/>
    </xf>
    <xf numFmtId="0" fontId="5" fillId="4" borderId="3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/>
    </xf>
    <xf numFmtId="0" fontId="5" fillId="3" borderId="18" xfId="0" applyNumberFormat="1" applyFont="1" applyFill="1" applyBorder="1" applyAlignment="1">
      <alignment horizontal="left" vertical="center" wrapText="1"/>
    </xf>
    <xf numFmtId="0" fontId="5" fillId="3" borderId="9" xfId="0" applyNumberFormat="1" applyFont="1" applyFill="1" applyBorder="1" applyAlignment="1">
      <alignment horizontal="left" vertical="center" wrapText="1"/>
    </xf>
    <xf numFmtId="0" fontId="5" fillId="4" borderId="13" xfId="0" applyNumberFormat="1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indent="1"/>
    </xf>
    <xf numFmtId="0" fontId="4" fillId="4" borderId="14" xfId="0" applyFont="1" applyFill="1" applyBorder="1" applyAlignment="1">
      <alignment horizontal="left" indent="1"/>
    </xf>
    <xf numFmtId="0" fontId="4" fillId="4" borderId="15" xfId="0" applyFont="1" applyFill="1" applyBorder="1" applyAlignment="1">
      <alignment horizontal="left" indent="1"/>
    </xf>
    <xf numFmtId="0" fontId="5" fillId="3" borderId="16" xfId="1" applyNumberFormat="1" applyFont="1" applyFill="1" applyBorder="1" applyAlignment="1">
      <alignment horizontal="left" vertical="center" wrapText="1"/>
    </xf>
    <xf numFmtId="0" fontId="5" fillId="3" borderId="17" xfId="1" applyNumberFormat="1" applyFont="1" applyFill="1" applyBorder="1" applyAlignment="1">
      <alignment horizontal="left" vertical="center" wrapText="1"/>
    </xf>
  </cellXfs>
  <cellStyles count="12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Процентный" xfId="7" builtinId="5"/>
    <cellStyle name="Процентный 2" xfId="8"/>
    <cellStyle name="Процентный 3" xfId="9"/>
    <cellStyle name="Процентный 4" xfId="10"/>
    <cellStyle name="Процентный 5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Y339"/>
  <sheetViews>
    <sheetView tabSelected="1" view="pageBreakPreview" zoomScale="80" zoomScaleNormal="80" zoomScaleSheetLayoutView="80" workbookViewId="0">
      <selection activeCell="J20" sqref="J20"/>
    </sheetView>
  </sheetViews>
  <sheetFormatPr defaultRowHeight="11.25"/>
  <cols>
    <col min="1" max="1" width="9.5" style="200" customWidth="1"/>
    <col min="2" max="2" width="16.33203125" style="200" customWidth="1"/>
    <col min="3" max="3" width="25.1640625" style="200" customWidth="1"/>
    <col min="4" max="4" width="8" style="2" customWidth="1"/>
    <col min="5" max="5" width="9.6640625" style="2" customWidth="1"/>
    <col min="6" max="6" width="9.83203125" style="59" customWidth="1"/>
    <col min="7" max="7" width="9.6640625" style="2" customWidth="1"/>
    <col min="8" max="8" width="8.5" style="2" customWidth="1"/>
    <col min="9" max="9" width="10" style="2" customWidth="1"/>
    <col min="10" max="10" width="9" style="2" customWidth="1"/>
    <col min="11" max="11" width="9.83203125" style="2" customWidth="1"/>
    <col min="12" max="12" width="8.83203125" style="2" customWidth="1"/>
    <col min="13" max="13" width="10.33203125" style="2" customWidth="1"/>
    <col min="14" max="14" width="9.5" style="2" customWidth="1"/>
    <col min="15" max="15" width="9.33203125" style="2" customWidth="1"/>
    <col min="16" max="17" width="9.1640625" style="2" customWidth="1"/>
    <col min="18" max="18" width="9" style="2" customWidth="1"/>
    <col min="19" max="19" width="9.5" style="2" customWidth="1"/>
    <col min="20" max="20" width="8.6640625" style="2" customWidth="1"/>
    <col min="21" max="21" width="9.1640625" style="16" customWidth="1"/>
    <col min="22" max="23" width="9.1640625" style="25" customWidth="1"/>
    <col min="24" max="24" width="11.6640625" style="25" customWidth="1"/>
  </cols>
  <sheetData>
    <row r="1" spans="1:25" s="1" customFormat="1" ht="11.25" customHeight="1">
      <c r="A1" s="42"/>
      <c r="B1" s="41"/>
      <c r="C1" s="41"/>
      <c r="D1" s="144"/>
      <c r="E1" s="144"/>
      <c r="F1" s="140"/>
      <c r="G1" s="144"/>
      <c r="H1" s="144"/>
      <c r="I1" s="144"/>
      <c r="J1" s="144"/>
      <c r="K1" s="144"/>
      <c r="L1" s="2"/>
      <c r="M1" s="218" t="s">
        <v>59</v>
      </c>
      <c r="N1" s="218"/>
      <c r="O1" s="218"/>
      <c r="P1" s="218"/>
      <c r="Q1" s="218"/>
      <c r="R1" s="218"/>
      <c r="S1" s="218"/>
      <c r="T1" s="218"/>
      <c r="U1" s="243"/>
      <c r="V1" s="236"/>
      <c r="W1" s="62"/>
      <c r="X1" s="236"/>
    </row>
    <row r="2" spans="1:25" s="1" customFormat="1" ht="15.75" customHeight="1">
      <c r="A2" s="237" t="s">
        <v>96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44"/>
      <c r="V2" s="236"/>
      <c r="W2" s="62"/>
      <c r="X2" s="236"/>
    </row>
    <row r="3" spans="1:25" s="1" customFormat="1" ht="11.25" customHeight="1">
      <c r="A3" s="43" t="s">
        <v>50</v>
      </c>
      <c r="B3" s="41"/>
      <c r="C3" s="41"/>
      <c r="D3" s="2"/>
      <c r="E3" s="2"/>
      <c r="F3" s="140"/>
      <c r="G3" s="238" t="s">
        <v>0</v>
      </c>
      <c r="H3" s="238"/>
      <c r="I3" s="238"/>
      <c r="J3" s="144"/>
      <c r="K3" s="144"/>
      <c r="L3" s="219" t="s">
        <v>1</v>
      </c>
      <c r="M3" s="219"/>
      <c r="N3" s="248"/>
      <c r="O3" s="248"/>
      <c r="P3" s="248"/>
      <c r="Q3" s="248"/>
      <c r="R3" s="144"/>
      <c r="S3" s="144"/>
      <c r="T3" s="144"/>
      <c r="U3" s="244"/>
      <c r="V3" s="236"/>
      <c r="W3" s="62"/>
      <c r="X3" s="236"/>
    </row>
    <row r="4" spans="1:25" s="1" customFormat="1" ht="11.25" customHeight="1">
      <c r="A4" s="41"/>
      <c r="B4" s="41"/>
      <c r="C4" s="41"/>
      <c r="D4" s="219" t="s">
        <v>2</v>
      </c>
      <c r="E4" s="219"/>
      <c r="F4" s="219"/>
      <c r="G4" s="5">
        <v>1</v>
      </c>
      <c r="H4" s="144"/>
      <c r="I4" s="2"/>
      <c r="J4" s="2"/>
      <c r="K4" s="2"/>
      <c r="L4" s="219" t="s">
        <v>3</v>
      </c>
      <c r="M4" s="219"/>
      <c r="N4" s="238" t="s">
        <v>113</v>
      </c>
      <c r="O4" s="238"/>
      <c r="P4" s="238"/>
      <c r="Q4" s="238"/>
      <c r="R4" s="238"/>
      <c r="S4" s="238"/>
      <c r="T4" s="238"/>
      <c r="U4" s="245"/>
      <c r="V4" s="249"/>
      <c r="W4" s="62"/>
      <c r="X4" s="236"/>
    </row>
    <row r="5" spans="1:25" s="1" customFormat="1" ht="21.75" customHeight="1">
      <c r="A5" s="246" t="s">
        <v>4</v>
      </c>
      <c r="B5" s="239" t="s">
        <v>5</v>
      </c>
      <c r="C5" s="240"/>
      <c r="D5" s="246" t="s">
        <v>6</v>
      </c>
      <c r="E5" s="124"/>
      <c r="F5" s="228" t="s">
        <v>7</v>
      </c>
      <c r="G5" s="229"/>
      <c r="H5" s="230"/>
      <c r="I5" s="246" t="s">
        <v>8</v>
      </c>
      <c r="J5" s="228" t="s">
        <v>9</v>
      </c>
      <c r="K5" s="229"/>
      <c r="L5" s="229"/>
      <c r="M5" s="229"/>
      <c r="N5" s="230"/>
      <c r="O5" s="228" t="s">
        <v>10</v>
      </c>
      <c r="P5" s="229"/>
      <c r="Q5" s="229"/>
      <c r="R5" s="229"/>
      <c r="S5" s="229"/>
      <c r="T5" s="230"/>
      <c r="U5" s="7"/>
      <c r="V5" s="20"/>
      <c r="W5" s="20"/>
      <c r="X5" s="20"/>
    </row>
    <row r="6" spans="1:25" s="1" customFormat="1" ht="21" customHeight="1">
      <c r="A6" s="247"/>
      <c r="B6" s="241"/>
      <c r="C6" s="242"/>
      <c r="D6" s="247"/>
      <c r="E6" s="123"/>
      <c r="F6" s="57" t="s">
        <v>11</v>
      </c>
      <c r="G6" s="129" t="s">
        <v>12</v>
      </c>
      <c r="H6" s="129" t="s">
        <v>13</v>
      </c>
      <c r="I6" s="247"/>
      <c r="J6" s="129" t="s">
        <v>14</v>
      </c>
      <c r="K6" s="129" t="s">
        <v>52</v>
      </c>
      <c r="L6" s="129" t="s">
        <v>15</v>
      </c>
      <c r="M6" s="129" t="s">
        <v>16</v>
      </c>
      <c r="N6" s="129" t="s">
        <v>17</v>
      </c>
      <c r="O6" s="129" t="s">
        <v>18</v>
      </c>
      <c r="P6" s="129" t="s">
        <v>19</v>
      </c>
      <c r="Q6" s="129" t="s">
        <v>53</v>
      </c>
      <c r="R6" s="129" t="s">
        <v>54</v>
      </c>
      <c r="S6" s="129" t="s">
        <v>20</v>
      </c>
      <c r="T6" s="129" t="s">
        <v>21</v>
      </c>
      <c r="U6" s="7"/>
      <c r="V6" s="20"/>
      <c r="W6" s="20"/>
      <c r="X6" s="20"/>
    </row>
    <row r="7" spans="1:25" s="1" customFormat="1" ht="11.25" customHeight="1">
      <c r="A7" s="172">
        <v>1</v>
      </c>
      <c r="B7" s="226">
        <v>2</v>
      </c>
      <c r="C7" s="227"/>
      <c r="D7" s="28">
        <v>3</v>
      </c>
      <c r="E7" s="28"/>
      <c r="F7" s="5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8">
        <v>10</v>
      </c>
      <c r="M7" s="28">
        <v>11</v>
      </c>
      <c r="N7" s="28">
        <v>12</v>
      </c>
      <c r="O7" s="28">
        <v>13</v>
      </c>
      <c r="P7" s="28">
        <v>14</v>
      </c>
      <c r="Q7" s="28">
        <v>15</v>
      </c>
      <c r="R7" s="28">
        <v>16</v>
      </c>
      <c r="S7" s="28">
        <v>17</v>
      </c>
      <c r="T7" s="28">
        <v>18</v>
      </c>
      <c r="U7" s="8"/>
      <c r="V7" s="21"/>
      <c r="W7" s="21"/>
      <c r="X7" s="21"/>
    </row>
    <row r="8" spans="1:25" s="1" customFormat="1" ht="11.25" customHeight="1">
      <c r="A8" s="215" t="s">
        <v>111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7"/>
      <c r="U8" s="9"/>
      <c r="V8" s="22"/>
      <c r="W8" s="22"/>
      <c r="X8" s="22"/>
    </row>
    <row r="9" spans="1:25" s="180" customFormat="1" ht="13.5" customHeight="1">
      <c r="A9" s="172" t="s">
        <v>60</v>
      </c>
      <c r="B9" s="201" t="s">
        <v>106</v>
      </c>
      <c r="C9" s="202"/>
      <c r="D9" s="162">
        <v>120</v>
      </c>
      <c r="E9" s="163">
        <v>30</v>
      </c>
      <c r="F9" s="163">
        <v>3.3</v>
      </c>
      <c r="G9" s="163">
        <v>3.2</v>
      </c>
      <c r="H9" s="163">
        <v>18</v>
      </c>
      <c r="I9" s="163">
        <v>113.8</v>
      </c>
      <c r="J9" s="163">
        <f>0.117*D9/200</f>
        <v>7.0199999999999999E-2</v>
      </c>
      <c r="K9" s="163">
        <f>0.27*D9/200</f>
        <v>0.16200000000000003</v>
      </c>
      <c r="L9" s="163">
        <f>0.324*D9/200</f>
        <v>0.19440000000000002</v>
      </c>
      <c r="M9" s="163">
        <f>0.036*D9/200</f>
        <v>2.1599999999999998E-2</v>
      </c>
      <c r="N9" s="160">
        <f>1.94*D9/200</f>
        <v>1.1639999999999999</v>
      </c>
      <c r="O9" s="163">
        <f>131.38*D9/200</f>
        <v>78.827999999999989</v>
      </c>
      <c r="P9" s="163">
        <f>248.5*D9/200</f>
        <v>149.1</v>
      </c>
      <c r="Q9" s="163">
        <f>1.35*D9/200</f>
        <v>0.81</v>
      </c>
      <c r="R9" s="163">
        <f>0.03*D9/200</f>
        <v>1.7999999999999999E-2</v>
      </c>
      <c r="S9" s="163">
        <f>21.55*D9/200</f>
        <v>12.93</v>
      </c>
      <c r="T9" s="163">
        <f>1.51*D9/200</f>
        <v>0.90599999999999992</v>
      </c>
      <c r="U9" s="178"/>
      <c r="V9" s="179"/>
      <c r="W9" s="179"/>
      <c r="X9" s="179"/>
    </row>
    <row r="10" spans="1:25" s="144" customFormat="1" ht="20.25" customHeight="1">
      <c r="A10" s="190" t="s">
        <v>60</v>
      </c>
      <c r="B10" s="231" t="s">
        <v>80</v>
      </c>
      <c r="C10" s="231"/>
      <c r="D10" s="191">
        <v>20</v>
      </c>
      <c r="E10" s="192">
        <v>8</v>
      </c>
      <c r="F10" s="192">
        <v>1.25</v>
      </c>
      <c r="G10" s="192">
        <v>0</v>
      </c>
      <c r="H10" s="192">
        <v>9.5</v>
      </c>
      <c r="I10" s="192">
        <v>43</v>
      </c>
      <c r="J10" s="192">
        <v>8.0000000000000002E-3</v>
      </c>
      <c r="K10" s="192">
        <v>7.0000000000000001E-3</v>
      </c>
      <c r="L10" s="192">
        <v>0.16</v>
      </c>
      <c r="M10" s="192">
        <v>8.0000000000000002E-3</v>
      </c>
      <c r="N10" s="192">
        <v>0.03</v>
      </c>
      <c r="O10" s="192">
        <v>51.16</v>
      </c>
      <c r="P10" s="192">
        <v>36.5</v>
      </c>
      <c r="Q10" s="192">
        <v>0.16</v>
      </c>
      <c r="R10" s="192">
        <v>2E-3</v>
      </c>
      <c r="S10" s="192">
        <v>5.66</v>
      </c>
      <c r="T10" s="192">
        <v>0.03</v>
      </c>
      <c r="U10" s="68"/>
      <c r="V10" s="68"/>
      <c r="W10" s="68"/>
      <c r="X10" s="68"/>
      <c r="Y10" s="68"/>
    </row>
    <row r="11" spans="1:25" s="116" customFormat="1">
      <c r="A11" s="174">
        <v>338</v>
      </c>
      <c r="B11" s="203" t="s">
        <v>87</v>
      </c>
      <c r="C11" s="203"/>
      <c r="D11" s="162">
        <v>115</v>
      </c>
      <c r="E11" s="163">
        <v>17.940000000000001</v>
      </c>
      <c r="F11" s="163">
        <v>0.4</v>
      </c>
      <c r="G11" s="160">
        <v>0.4</v>
      </c>
      <c r="H11" s="161">
        <v>9.8000000000000007</v>
      </c>
      <c r="I11" s="161">
        <f>F11*4+G11*9+H11*4</f>
        <v>44.400000000000006</v>
      </c>
      <c r="J11" s="163">
        <v>0.04</v>
      </c>
      <c r="K11" s="163">
        <v>0.02</v>
      </c>
      <c r="L11" s="162">
        <v>10</v>
      </c>
      <c r="M11" s="162">
        <v>0.02</v>
      </c>
      <c r="N11" s="163">
        <v>0.2</v>
      </c>
      <c r="O11" s="163">
        <v>16</v>
      </c>
      <c r="P11" s="163">
        <v>11</v>
      </c>
      <c r="Q11" s="162">
        <v>0.03</v>
      </c>
      <c r="R11" s="162">
        <v>2E-3</v>
      </c>
      <c r="S11" s="163">
        <v>9</v>
      </c>
      <c r="T11" s="163">
        <v>2.2000000000000002</v>
      </c>
      <c r="U11" s="119"/>
      <c r="V11" s="120"/>
      <c r="W11" s="120"/>
      <c r="X11" s="120"/>
    </row>
    <row r="12" spans="1:25" s="116" customFormat="1" ht="12.75" customHeight="1">
      <c r="A12" s="172">
        <v>377</v>
      </c>
      <c r="B12" s="203" t="s">
        <v>43</v>
      </c>
      <c r="C12" s="203"/>
      <c r="D12" s="162">
        <v>200</v>
      </c>
      <c r="E12" s="163">
        <v>3.81</v>
      </c>
      <c r="F12" s="163">
        <v>0.26</v>
      </c>
      <c r="G12" s="163">
        <v>0.06</v>
      </c>
      <c r="H12" s="163">
        <v>15.22</v>
      </c>
      <c r="I12" s="163">
        <f>F12*4+G12*9+H12*4</f>
        <v>62.46</v>
      </c>
      <c r="J12" s="163"/>
      <c r="K12" s="163">
        <v>0.01</v>
      </c>
      <c r="L12" s="163">
        <v>2.9</v>
      </c>
      <c r="M12" s="160">
        <v>0</v>
      </c>
      <c r="N12" s="163">
        <v>0.06</v>
      </c>
      <c r="O12" s="163">
        <v>8.0500000000000007</v>
      </c>
      <c r="P12" s="163">
        <v>9.7799999999999994</v>
      </c>
      <c r="Q12" s="163">
        <v>1.7000000000000001E-2</v>
      </c>
      <c r="R12" s="164">
        <v>0</v>
      </c>
      <c r="S12" s="163">
        <v>5.24</v>
      </c>
      <c r="T12" s="163">
        <v>0.87</v>
      </c>
      <c r="U12" s="119"/>
      <c r="V12" s="120"/>
      <c r="W12" s="120"/>
      <c r="X12" s="120"/>
    </row>
    <row r="13" spans="1:25" s="187" customFormat="1" ht="12.75" customHeight="1">
      <c r="A13" s="190">
        <v>3</v>
      </c>
      <c r="B13" s="231" t="s">
        <v>107</v>
      </c>
      <c r="C13" s="231"/>
      <c r="D13" s="191">
        <v>45</v>
      </c>
      <c r="E13" s="192">
        <v>13.25</v>
      </c>
      <c r="F13" s="192">
        <v>6.45</v>
      </c>
      <c r="G13" s="192">
        <v>7.27</v>
      </c>
      <c r="H13" s="192">
        <v>17.77</v>
      </c>
      <c r="I13" s="192">
        <v>162.25</v>
      </c>
      <c r="J13" s="192">
        <v>0.04</v>
      </c>
      <c r="K13" s="192">
        <v>0.02</v>
      </c>
      <c r="L13" s="191">
        <v>10</v>
      </c>
      <c r="M13" s="191">
        <v>0.02</v>
      </c>
      <c r="N13" s="192">
        <v>0.2</v>
      </c>
      <c r="O13" s="192">
        <v>16</v>
      </c>
      <c r="P13" s="192">
        <v>11</v>
      </c>
      <c r="Q13" s="191">
        <v>0.03</v>
      </c>
      <c r="R13" s="191">
        <v>2E-3</v>
      </c>
      <c r="S13" s="192">
        <v>9</v>
      </c>
      <c r="T13" s="192">
        <v>2.2000000000000002</v>
      </c>
      <c r="U13" s="186"/>
      <c r="V13" s="186"/>
      <c r="W13" s="186"/>
      <c r="X13" s="186"/>
    </row>
    <row r="14" spans="1:25" s="73" customFormat="1" ht="11.25" customHeight="1">
      <c r="A14" s="156" t="s">
        <v>23</v>
      </c>
      <c r="B14" s="157"/>
      <c r="C14" s="157"/>
      <c r="D14" s="45">
        <f t="shared" ref="D14:J14" si="0">SUM(D9:D13)</f>
        <v>500</v>
      </c>
      <c r="E14" s="175">
        <f t="shared" si="0"/>
        <v>73</v>
      </c>
      <c r="F14" s="150">
        <f t="shared" si="0"/>
        <v>11.66</v>
      </c>
      <c r="G14" s="149">
        <f t="shared" si="0"/>
        <v>10.93</v>
      </c>
      <c r="H14" s="149">
        <f t="shared" si="0"/>
        <v>70.289999999999992</v>
      </c>
      <c r="I14" s="149">
        <f t="shared" si="0"/>
        <v>425.91</v>
      </c>
      <c r="J14" s="150">
        <f t="shared" si="0"/>
        <v>0.15820000000000001</v>
      </c>
      <c r="K14" s="150">
        <f t="shared" ref="K14:T14" si="1">SUM(K9:K13)</f>
        <v>0.21900000000000003</v>
      </c>
      <c r="L14" s="150">
        <f t="shared" si="1"/>
        <v>23.2544</v>
      </c>
      <c r="M14" s="151">
        <f t="shared" si="1"/>
        <v>6.9599999999999995E-2</v>
      </c>
      <c r="N14" s="150">
        <f t="shared" si="1"/>
        <v>1.6539999999999999</v>
      </c>
      <c r="O14" s="149">
        <f t="shared" si="1"/>
        <v>170.03800000000001</v>
      </c>
      <c r="P14" s="149">
        <f t="shared" si="1"/>
        <v>217.38</v>
      </c>
      <c r="Q14" s="150">
        <f t="shared" si="1"/>
        <v>1.0469999999999999</v>
      </c>
      <c r="R14" s="151">
        <f t="shared" si="1"/>
        <v>2.4E-2</v>
      </c>
      <c r="S14" s="149">
        <f t="shared" si="1"/>
        <v>41.83</v>
      </c>
      <c r="T14" s="150">
        <f t="shared" si="1"/>
        <v>6.2060000000000004</v>
      </c>
      <c r="U14" s="29"/>
      <c r="V14" s="74"/>
      <c r="W14" s="74"/>
      <c r="X14" s="74"/>
    </row>
    <row r="15" spans="1:25" s="73" customFormat="1" ht="11.25" customHeight="1">
      <c r="A15" s="210" t="s">
        <v>57</v>
      </c>
      <c r="B15" s="211"/>
      <c r="C15" s="211"/>
      <c r="D15" s="212"/>
      <c r="E15" s="173"/>
      <c r="F15" s="171">
        <f t="shared" ref="F15:T15" si="2">F14/F34</f>
        <v>0.12955555555555556</v>
      </c>
      <c r="G15" s="51">
        <f t="shared" si="2"/>
        <v>0.11880434782608695</v>
      </c>
      <c r="H15" s="51">
        <f t="shared" si="2"/>
        <v>0.18352480417754566</v>
      </c>
      <c r="I15" s="51">
        <f t="shared" si="2"/>
        <v>0.15658455882352942</v>
      </c>
      <c r="J15" s="51">
        <f t="shared" si="2"/>
        <v>0.11300000000000002</v>
      </c>
      <c r="K15" s="51">
        <f t="shared" si="2"/>
        <v>0.136875</v>
      </c>
      <c r="L15" s="51">
        <f t="shared" si="2"/>
        <v>0.33220571428571427</v>
      </c>
      <c r="M15" s="51">
        <f t="shared" si="2"/>
        <v>7.7333333333333323E-2</v>
      </c>
      <c r="N15" s="51">
        <f t="shared" si="2"/>
        <v>0.13783333333333334</v>
      </c>
      <c r="O15" s="153">
        <f t="shared" si="2"/>
        <v>0.14169833333333334</v>
      </c>
      <c r="P15" s="51">
        <f t="shared" si="2"/>
        <v>0.18115000000000001</v>
      </c>
      <c r="Q15" s="51">
        <f t="shared" si="2"/>
        <v>7.4785714285714275E-2</v>
      </c>
      <c r="R15" s="51">
        <f t="shared" si="2"/>
        <v>0.24</v>
      </c>
      <c r="S15" s="51">
        <f t="shared" si="2"/>
        <v>0.13943333333333333</v>
      </c>
      <c r="T15" s="153">
        <f t="shared" si="2"/>
        <v>0.34477777777777779</v>
      </c>
      <c r="U15" s="76"/>
      <c r="V15" s="74"/>
      <c r="W15" s="74"/>
      <c r="X15" s="74"/>
    </row>
    <row r="16" spans="1:25" s="68" customFormat="1" ht="14.25" customHeight="1">
      <c r="A16" s="69" t="s">
        <v>60</v>
      </c>
      <c r="B16" s="223" t="s">
        <v>94</v>
      </c>
      <c r="C16" s="223"/>
      <c r="D16" s="70">
        <v>200</v>
      </c>
      <c r="E16" s="86"/>
      <c r="F16" s="193">
        <v>5.6</v>
      </c>
      <c r="G16" s="193">
        <v>6.4</v>
      </c>
      <c r="H16" s="193">
        <v>9.4</v>
      </c>
      <c r="I16" s="193">
        <v>117.6</v>
      </c>
      <c r="J16" s="193">
        <v>0.08</v>
      </c>
      <c r="K16" s="193">
        <v>0.307</v>
      </c>
      <c r="L16" s="193">
        <v>2.6</v>
      </c>
      <c r="M16" s="193">
        <v>6.7000000000000004E-2</v>
      </c>
      <c r="N16" s="193">
        <v>0.29199999999999998</v>
      </c>
      <c r="O16" s="193">
        <v>240</v>
      </c>
      <c r="P16" s="193">
        <v>180</v>
      </c>
      <c r="Q16" s="193">
        <v>0.8</v>
      </c>
      <c r="R16" s="193">
        <v>1.7999999999999999E-2</v>
      </c>
      <c r="S16" s="193">
        <v>28</v>
      </c>
      <c r="T16" s="193">
        <v>0.12</v>
      </c>
    </row>
    <row r="17" spans="1:24" s="73" customFormat="1" ht="11.25" customHeight="1">
      <c r="A17" s="215" t="s">
        <v>26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7"/>
      <c r="U17" s="9"/>
      <c r="V17" s="22"/>
      <c r="W17" s="22"/>
      <c r="X17" s="22"/>
    </row>
    <row r="18" spans="1:24" s="180" customFormat="1" ht="22.5" customHeight="1">
      <c r="A18" s="172">
        <v>56</v>
      </c>
      <c r="B18" s="203" t="s">
        <v>90</v>
      </c>
      <c r="C18" s="203"/>
      <c r="D18" s="162">
        <v>100</v>
      </c>
      <c r="E18" s="163">
        <v>8.48</v>
      </c>
      <c r="F18" s="163">
        <f>0.9*D18/60</f>
        <v>1.5</v>
      </c>
      <c r="G18" s="161">
        <f>3.1*D18/60</f>
        <v>5.166666666666667</v>
      </c>
      <c r="H18" s="161">
        <f>5.6*D18/60</f>
        <v>9.3333333333333339</v>
      </c>
      <c r="I18" s="163">
        <f>F18*4+G18*9+H18*4</f>
        <v>89.833333333333343</v>
      </c>
      <c r="J18" s="164">
        <f>0.1*D18/60</f>
        <v>0.16666666666666666</v>
      </c>
      <c r="K18" s="164">
        <f>0.1*D18/60</f>
        <v>0.16666666666666666</v>
      </c>
      <c r="L18" s="163">
        <f>12.3*D18/60</f>
        <v>20.5</v>
      </c>
      <c r="M18" s="164">
        <f>0.02*D18/60</f>
        <v>3.3333333333333333E-2</v>
      </c>
      <c r="N18" s="164">
        <f>0.5*D18/60</f>
        <v>0.83333333333333337</v>
      </c>
      <c r="O18" s="161">
        <f>59.9*D18/60</f>
        <v>99.833333333333329</v>
      </c>
      <c r="P18" s="161">
        <f>31.3*D18/60</f>
        <v>52.166666666666664</v>
      </c>
      <c r="Q18" s="143">
        <f>0.4228*D18/60</f>
        <v>0.70466666666666666</v>
      </c>
      <c r="R18" s="164">
        <f>0.003*D18/60</f>
        <v>5.0000000000000001E-3</v>
      </c>
      <c r="S18" s="161">
        <f>16.3*D18/60</f>
        <v>27.166666666666668</v>
      </c>
      <c r="T18" s="163">
        <f>0.7*D18/60</f>
        <v>1.1666666666666667</v>
      </c>
      <c r="U18" s="178"/>
      <c r="V18" s="179"/>
      <c r="W18" s="179"/>
      <c r="X18" s="179"/>
    </row>
    <row r="19" spans="1:24" s="180" customFormat="1" ht="15" customHeight="1">
      <c r="A19" s="172">
        <v>102</v>
      </c>
      <c r="B19" s="201" t="s">
        <v>75</v>
      </c>
      <c r="C19" s="202"/>
      <c r="D19" s="160">
        <v>250</v>
      </c>
      <c r="E19" s="163">
        <v>10.45</v>
      </c>
      <c r="F19" s="163">
        <v>6.22</v>
      </c>
      <c r="G19" s="163">
        <v>3.99</v>
      </c>
      <c r="H19" s="163">
        <v>21.73</v>
      </c>
      <c r="I19" s="163">
        <v>147.71</v>
      </c>
      <c r="J19" s="163">
        <v>0.27</v>
      </c>
      <c r="K19" s="163">
        <v>0.09</v>
      </c>
      <c r="L19" s="163">
        <v>9</v>
      </c>
      <c r="M19" s="164">
        <v>1E-3</v>
      </c>
      <c r="N19" s="163">
        <v>0.25700000000000001</v>
      </c>
      <c r="O19" s="163">
        <v>54.13</v>
      </c>
      <c r="P19" s="163">
        <v>183.2</v>
      </c>
      <c r="Q19" s="163">
        <v>1.157</v>
      </c>
      <c r="R19" s="164">
        <v>1.2999999999999999E-2</v>
      </c>
      <c r="S19" s="163">
        <v>49.63</v>
      </c>
      <c r="T19" s="163">
        <v>1.03</v>
      </c>
      <c r="U19" s="178"/>
      <c r="V19" s="179"/>
      <c r="W19" s="179"/>
      <c r="X19" s="179"/>
    </row>
    <row r="20" spans="1:24" s="180" customFormat="1" ht="23.25" customHeight="1">
      <c r="A20" s="172">
        <v>266</v>
      </c>
      <c r="B20" s="201" t="s">
        <v>73</v>
      </c>
      <c r="C20" s="202"/>
      <c r="D20" s="162">
        <v>90</v>
      </c>
      <c r="E20" s="163">
        <v>46.99</v>
      </c>
      <c r="F20" s="163">
        <v>16.68</v>
      </c>
      <c r="G20" s="163">
        <v>23.27</v>
      </c>
      <c r="H20" s="163">
        <v>4.28</v>
      </c>
      <c r="I20" s="163">
        <v>293</v>
      </c>
      <c r="J20" s="163">
        <v>0.20300000000000001</v>
      </c>
      <c r="K20" s="163">
        <v>0.23</v>
      </c>
      <c r="L20" s="163">
        <v>0.48</v>
      </c>
      <c r="M20" s="163">
        <f>0.04*D20/80</f>
        <v>4.4999999999999998E-2</v>
      </c>
      <c r="N20" s="160">
        <v>6.8000000000000005E-2</v>
      </c>
      <c r="O20" s="161">
        <v>54.5</v>
      </c>
      <c r="P20" s="161">
        <v>200.14</v>
      </c>
      <c r="Q20" s="163">
        <v>2.56</v>
      </c>
      <c r="R20" s="164">
        <f>0.04*D20/80</f>
        <v>4.4999999999999998E-2</v>
      </c>
      <c r="S20" s="161">
        <v>27.5</v>
      </c>
      <c r="T20" s="163">
        <v>2.17</v>
      </c>
      <c r="U20" s="178"/>
      <c r="V20" s="179"/>
      <c r="W20" s="179"/>
      <c r="X20" s="179"/>
    </row>
    <row r="21" spans="1:24" s="180" customFormat="1" ht="19.5" customHeight="1">
      <c r="A21" s="172">
        <v>203</v>
      </c>
      <c r="B21" s="201" t="s">
        <v>68</v>
      </c>
      <c r="C21" s="202"/>
      <c r="D21" s="162">
        <v>180</v>
      </c>
      <c r="E21" s="163">
        <v>8.73</v>
      </c>
      <c r="F21" s="163">
        <f>5.7*D21/150</f>
        <v>6.84</v>
      </c>
      <c r="G21" s="163">
        <f>3.43*D21/150</f>
        <v>4.1159999999999997</v>
      </c>
      <c r="H21" s="163">
        <f>36.45*D21/150</f>
        <v>43.740000000000009</v>
      </c>
      <c r="I21" s="163">
        <f>F21*4+G21*9+H21*4</f>
        <v>239.36400000000003</v>
      </c>
      <c r="J21" s="163">
        <f>0.09*D21/150</f>
        <v>0.108</v>
      </c>
      <c r="K21" s="163">
        <f>0.03*D21/150</f>
        <v>3.5999999999999997E-2</v>
      </c>
      <c r="L21" s="163">
        <v>0</v>
      </c>
      <c r="M21" s="164">
        <f>0.03*D21/150</f>
        <v>3.5999999999999997E-2</v>
      </c>
      <c r="N21" s="163">
        <f>1.25*D21/150</f>
        <v>1.5</v>
      </c>
      <c r="O21" s="163">
        <f>13.28*D21/150</f>
        <v>15.936</v>
      </c>
      <c r="P21" s="163">
        <f>46.21*D21/150</f>
        <v>55.451999999999998</v>
      </c>
      <c r="Q21" s="163">
        <f>0.78*D21/150</f>
        <v>0.93600000000000005</v>
      </c>
      <c r="R21" s="164">
        <f>0.0015*D21/150</f>
        <v>1.8000000000000002E-3</v>
      </c>
      <c r="S21" s="163">
        <f>8.47*D21/150</f>
        <v>10.164000000000001</v>
      </c>
      <c r="T21" s="163">
        <f>0.86*D21/150</f>
        <v>1.032</v>
      </c>
      <c r="U21" s="178"/>
      <c r="V21" s="179"/>
      <c r="W21" s="179"/>
      <c r="X21" s="179"/>
    </row>
    <row r="22" spans="1:24" s="180" customFormat="1">
      <c r="A22" s="69">
        <v>345</v>
      </c>
      <c r="B22" s="206" t="s">
        <v>46</v>
      </c>
      <c r="C22" s="206"/>
      <c r="D22" s="71">
        <v>200</v>
      </c>
      <c r="E22" s="67">
        <v>4.9000000000000004</v>
      </c>
      <c r="F22" s="67">
        <v>0.06</v>
      </c>
      <c r="G22" s="67">
        <v>0.02</v>
      </c>
      <c r="H22" s="67">
        <v>20.73</v>
      </c>
      <c r="I22" s="67">
        <v>83.34</v>
      </c>
      <c r="J22" s="67">
        <v>0</v>
      </c>
      <c r="K22" s="67">
        <v>0</v>
      </c>
      <c r="L22" s="67">
        <v>2.5</v>
      </c>
      <c r="M22" s="67">
        <v>4.0000000000000001E-3</v>
      </c>
      <c r="N22" s="67">
        <v>0.2</v>
      </c>
      <c r="O22" s="67">
        <v>4</v>
      </c>
      <c r="P22" s="67">
        <v>3.3</v>
      </c>
      <c r="Q22" s="67">
        <v>0.08</v>
      </c>
      <c r="R22" s="67">
        <v>1E-3</v>
      </c>
      <c r="S22" s="67">
        <v>1.7</v>
      </c>
      <c r="T22" s="67">
        <v>0.15</v>
      </c>
      <c r="U22" s="178"/>
      <c r="V22" s="179"/>
      <c r="W22" s="179"/>
      <c r="X22" s="179"/>
    </row>
    <row r="23" spans="1:24">
      <c r="A23" s="90" t="s">
        <v>60</v>
      </c>
      <c r="B23" s="213" t="s">
        <v>88</v>
      </c>
      <c r="C23" s="214"/>
      <c r="D23" s="90">
        <v>25</v>
      </c>
      <c r="E23" s="91">
        <v>9.85</v>
      </c>
      <c r="F23" s="91">
        <v>0.65</v>
      </c>
      <c r="G23" s="92">
        <v>3.8</v>
      </c>
      <c r="H23" s="93">
        <v>17.600000000000001</v>
      </c>
      <c r="I23" s="91">
        <v>38</v>
      </c>
      <c r="J23" s="91">
        <v>2.5999999999999999E-2</v>
      </c>
      <c r="K23" s="91">
        <v>0.03</v>
      </c>
      <c r="L23" s="91">
        <v>0.13</v>
      </c>
      <c r="M23" s="91">
        <v>11.96</v>
      </c>
      <c r="N23" s="92">
        <v>0.39</v>
      </c>
      <c r="O23" s="91">
        <v>24.18</v>
      </c>
      <c r="P23" s="91">
        <v>49.4</v>
      </c>
      <c r="Q23" s="94">
        <v>0.2</v>
      </c>
      <c r="R23" s="91">
        <v>2E-3</v>
      </c>
      <c r="S23" s="91">
        <v>18.72</v>
      </c>
      <c r="T23" s="91">
        <v>0.182</v>
      </c>
      <c r="U23"/>
      <c r="V23"/>
      <c r="W23"/>
      <c r="X23"/>
    </row>
    <row r="24" spans="1:24" s="180" customFormat="1" ht="11.25" customHeight="1">
      <c r="A24" s="52" t="s">
        <v>60</v>
      </c>
      <c r="B24" s="201" t="s">
        <v>44</v>
      </c>
      <c r="C24" s="202"/>
      <c r="D24" s="162">
        <v>40</v>
      </c>
      <c r="E24" s="163">
        <v>2.08</v>
      </c>
      <c r="F24" s="163">
        <f>2.64*D24/40</f>
        <v>2.64</v>
      </c>
      <c r="G24" s="163">
        <f>0.48*D24/40</f>
        <v>0.48</v>
      </c>
      <c r="H24" s="163">
        <f>13.68*D24/40</f>
        <v>13.680000000000001</v>
      </c>
      <c r="I24" s="161">
        <f>F24*4+G24*9+H24*4</f>
        <v>69.600000000000009</v>
      </c>
      <c r="J24" s="160">
        <f>0.08*D24/40</f>
        <v>0.08</v>
      </c>
      <c r="K24" s="163">
        <f>0.04*D24/40</f>
        <v>0.04</v>
      </c>
      <c r="L24" s="162">
        <v>0</v>
      </c>
      <c r="M24" s="162">
        <v>0</v>
      </c>
      <c r="N24" s="163">
        <f>2.4*D24/40</f>
        <v>2.4</v>
      </c>
      <c r="O24" s="163">
        <f>14*D24/40</f>
        <v>14</v>
      </c>
      <c r="P24" s="163">
        <f>63.2*D24/40</f>
        <v>63.2</v>
      </c>
      <c r="Q24" s="163">
        <f>1.2*D24/40</f>
        <v>1.2</v>
      </c>
      <c r="R24" s="164">
        <f>0.001*D24/40</f>
        <v>1E-3</v>
      </c>
      <c r="S24" s="163">
        <f>9.4*D24/40</f>
        <v>9.4</v>
      </c>
      <c r="T24" s="160">
        <f>0.78*D24/40</f>
        <v>0.78</v>
      </c>
      <c r="U24" s="188"/>
      <c r="V24" s="189"/>
      <c r="W24" s="189"/>
      <c r="X24" s="189"/>
    </row>
    <row r="25" spans="1:24" s="73" customFormat="1" ht="11.25" customHeight="1">
      <c r="A25" s="167" t="s">
        <v>60</v>
      </c>
      <c r="B25" s="201" t="s">
        <v>49</v>
      </c>
      <c r="C25" s="202"/>
      <c r="D25" s="162">
        <v>30</v>
      </c>
      <c r="E25" s="163">
        <v>2.52</v>
      </c>
      <c r="F25" s="163">
        <f>1.52*D25/30</f>
        <v>1.52</v>
      </c>
      <c r="G25" s="164">
        <f>0.16*D25/30</f>
        <v>0.16</v>
      </c>
      <c r="H25" s="164">
        <f>9.84*D25/30</f>
        <v>9.84</v>
      </c>
      <c r="I25" s="164">
        <f>F25*4+G25*9+H25*4</f>
        <v>46.879999999999995</v>
      </c>
      <c r="J25" s="164">
        <f>0.02*D25/30</f>
        <v>0.02</v>
      </c>
      <c r="K25" s="164">
        <f>0.01*D25/30</f>
        <v>0.01</v>
      </c>
      <c r="L25" s="164">
        <f>0.44*D25/30</f>
        <v>0.44</v>
      </c>
      <c r="M25" s="164">
        <v>0</v>
      </c>
      <c r="N25" s="164">
        <f>0.7*D25/30</f>
        <v>0.7</v>
      </c>
      <c r="O25" s="164">
        <f>4*D25/30</f>
        <v>4</v>
      </c>
      <c r="P25" s="164">
        <f>13*D25/30</f>
        <v>13</v>
      </c>
      <c r="Q25" s="164">
        <f>0.008*D25/30</f>
        <v>8.0000000000000002E-3</v>
      </c>
      <c r="R25" s="164">
        <f>0.001*D25/30</f>
        <v>1E-3</v>
      </c>
      <c r="S25" s="164">
        <v>0</v>
      </c>
      <c r="T25" s="164">
        <f>0.22*D25/30</f>
        <v>0.22</v>
      </c>
      <c r="U25" s="26"/>
      <c r="V25" s="27"/>
      <c r="W25" s="27"/>
      <c r="X25" s="27"/>
    </row>
    <row r="26" spans="1:24" s="73" customFormat="1" ht="11.25" customHeight="1">
      <c r="A26" s="156" t="s">
        <v>27</v>
      </c>
      <c r="B26" s="157"/>
      <c r="C26" s="157"/>
      <c r="D26" s="158">
        <f t="shared" ref="D26:I26" si="3">SUM(D18:D25)</f>
        <v>915</v>
      </c>
      <c r="E26" s="175">
        <f t="shared" si="3"/>
        <v>94</v>
      </c>
      <c r="F26" s="150">
        <f t="shared" si="3"/>
        <v>36.11</v>
      </c>
      <c r="G26" s="149">
        <f t="shared" si="3"/>
        <v>41.002666666666656</v>
      </c>
      <c r="H26" s="155">
        <f t="shared" si="3"/>
        <v>140.93333333333337</v>
      </c>
      <c r="I26" s="149">
        <f t="shared" si="3"/>
        <v>1007.7273333333334</v>
      </c>
      <c r="J26" s="149">
        <f t="shared" ref="J26:T26" si="4">SUM(J18:J25)</f>
        <v>0.87366666666666659</v>
      </c>
      <c r="K26" s="149">
        <f t="shared" si="4"/>
        <v>0.60266666666666679</v>
      </c>
      <c r="L26" s="149">
        <f t="shared" si="4"/>
        <v>33.050000000000004</v>
      </c>
      <c r="M26" s="150">
        <f t="shared" si="4"/>
        <v>12.079333333333334</v>
      </c>
      <c r="N26" s="150">
        <f t="shared" si="4"/>
        <v>6.3483333333333336</v>
      </c>
      <c r="O26" s="155">
        <f t="shared" si="4"/>
        <v>270.57933333333335</v>
      </c>
      <c r="P26" s="149">
        <f t="shared" si="4"/>
        <v>619.85866666666675</v>
      </c>
      <c r="Q26" s="151">
        <f t="shared" si="4"/>
        <v>6.8456666666666672</v>
      </c>
      <c r="R26" s="151">
        <f t="shared" si="4"/>
        <v>6.9800000000000001E-2</v>
      </c>
      <c r="S26" s="149">
        <f t="shared" si="4"/>
        <v>144.28066666666669</v>
      </c>
      <c r="T26" s="150">
        <f t="shared" si="4"/>
        <v>6.7306666666666679</v>
      </c>
      <c r="U26" s="29"/>
      <c r="V26" s="74"/>
      <c r="W26" s="74"/>
      <c r="X26" s="74"/>
    </row>
    <row r="27" spans="1:24" s="73" customFormat="1" ht="11.25" customHeight="1">
      <c r="A27" s="210" t="s">
        <v>57</v>
      </c>
      <c r="B27" s="211"/>
      <c r="C27" s="211"/>
      <c r="D27" s="212"/>
      <c r="E27" s="173"/>
      <c r="F27" s="171">
        <f t="shared" ref="F27:T27" si="5">F26/F34</f>
        <v>0.4012222222222222</v>
      </c>
      <c r="G27" s="51">
        <f t="shared" si="5"/>
        <v>0.44568115942028974</v>
      </c>
      <c r="H27" s="51">
        <f t="shared" si="5"/>
        <v>0.36797214969538738</v>
      </c>
      <c r="I27" s="51">
        <f t="shared" si="5"/>
        <v>0.37048799019607842</v>
      </c>
      <c r="J27" s="51">
        <f t="shared" si="5"/>
        <v>0.62404761904761907</v>
      </c>
      <c r="K27" s="51">
        <f t="shared" si="5"/>
        <v>0.37666666666666671</v>
      </c>
      <c r="L27" s="51">
        <f t="shared" si="5"/>
        <v>0.4721428571428572</v>
      </c>
      <c r="M27" s="51">
        <f t="shared" si="5"/>
        <v>13.421481481481482</v>
      </c>
      <c r="N27" s="51">
        <f t="shared" si="5"/>
        <v>0.52902777777777776</v>
      </c>
      <c r="O27" s="153">
        <f t="shared" si="5"/>
        <v>0.22548277777777778</v>
      </c>
      <c r="P27" s="51">
        <f t="shared" si="5"/>
        <v>0.51654888888888895</v>
      </c>
      <c r="Q27" s="51">
        <f t="shared" si="5"/>
        <v>0.48897619047619051</v>
      </c>
      <c r="R27" s="51">
        <f t="shared" si="5"/>
        <v>0.69799999999999995</v>
      </c>
      <c r="S27" s="51">
        <f t="shared" si="5"/>
        <v>0.48093555555555562</v>
      </c>
      <c r="T27" s="153">
        <f t="shared" si="5"/>
        <v>0.37392592592592599</v>
      </c>
      <c r="U27" s="76"/>
      <c r="V27" s="74"/>
      <c r="W27" s="74"/>
      <c r="X27" s="74"/>
    </row>
    <row r="28" spans="1:24" s="73" customFormat="1" ht="15.75" customHeight="1">
      <c r="A28" s="215" t="s">
        <v>28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7"/>
      <c r="U28" s="9"/>
      <c r="V28" s="22"/>
      <c r="W28" s="22"/>
      <c r="X28" s="22"/>
    </row>
    <row r="29" spans="1:24" s="85" customFormat="1" ht="15.75" customHeight="1">
      <c r="A29" s="194"/>
      <c r="B29" s="231"/>
      <c r="C29" s="231"/>
      <c r="D29" s="191"/>
      <c r="E29" s="192"/>
      <c r="F29" s="192"/>
      <c r="G29" s="192"/>
      <c r="H29" s="192"/>
      <c r="I29" s="192"/>
      <c r="J29" s="195"/>
      <c r="K29" s="192"/>
      <c r="L29" s="192"/>
      <c r="M29" s="195"/>
      <c r="N29" s="196"/>
      <c r="O29" s="197"/>
      <c r="P29" s="192"/>
      <c r="Q29" s="192"/>
      <c r="R29" s="195"/>
      <c r="S29" s="192"/>
      <c r="T29" s="192"/>
    </row>
    <row r="30" spans="1:24" s="68" customFormat="1" ht="15.75" customHeight="1">
      <c r="A30" s="87"/>
      <c r="B30" s="206"/>
      <c r="C30" s="206"/>
      <c r="D30" s="71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1:24" s="1" customFormat="1" ht="15.75" customHeight="1">
      <c r="A31" s="156" t="s">
        <v>29</v>
      </c>
      <c r="B31" s="157"/>
      <c r="C31" s="157"/>
      <c r="D31" s="158">
        <f t="shared" ref="D31:T31" si="6">SUM(D29:D30)</f>
        <v>0</v>
      </c>
      <c r="E31" s="175">
        <f t="shared" si="6"/>
        <v>0</v>
      </c>
      <c r="F31" s="175">
        <f t="shared" si="6"/>
        <v>0</v>
      </c>
      <c r="G31" s="175">
        <f t="shared" si="6"/>
        <v>0</v>
      </c>
      <c r="H31" s="175">
        <f t="shared" si="6"/>
        <v>0</v>
      </c>
      <c r="I31" s="175">
        <f t="shared" si="6"/>
        <v>0</v>
      </c>
      <c r="J31" s="175">
        <f t="shared" si="6"/>
        <v>0</v>
      </c>
      <c r="K31" s="175">
        <f t="shared" si="6"/>
        <v>0</v>
      </c>
      <c r="L31" s="175">
        <f t="shared" si="6"/>
        <v>0</v>
      </c>
      <c r="M31" s="175">
        <f t="shared" si="6"/>
        <v>0</v>
      </c>
      <c r="N31" s="175">
        <f t="shared" si="6"/>
        <v>0</v>
      </c>
      <c r="O31" s="175">
        <f t="shared" si="6"/>
        <v>0</v>
      </c>
      <c r="P31" s="175">
        <f t="shared" si="6"/>
        <v>0</v>
      </c>
      <c r="Q31" s="175">
        <f t="shared" si="6"/>
        <v>0</v>
      </c>
      <c r="R31" s="175">
        <f t="shared" si="6"/>
        <v>0</v>
      </c>
      <c r="S31" s="175">
        <f t="shared" si="6"/>
        <v>0</v>
      </c>
      <c r="T31" s="175">
        <f t="shared" si="6"/>
        <v>0</v>
      </c>
      <c r="U31" s="29"/>
      <c r="V31" s="74"/>
      <c r="W31" s="74"/>
      <c r="X31" s="74"/>
    </row>
    <row r="32" spans="1:24" s="1" customFormat="1" ht="11.25" customHeight="1">
      <c r="A32" s="210" t="s">
        <v>57</v>
      </c>
      <c r="B32" s="211"/>
      <c r="C32" s="211"/>
      <c r="D32" s="212"/>
      <c r="E32" s="121"/>
      <c r="F32" s="51">
        <f>F31/F34</f>
        <v>0</v>
      </c>
      <c r="G32" s="51">
        <f t="shared" ref="G32:T32" si="7">G31/G34</f>
        <v>0</v>
      </c>
      <c r="H32" s="51">
        <f t="shared" si="7"/>
        <v>0</v>
      </c>
      <c r="I32" s="51">
        <f t="shared" si="7"/>
        <v>0</v>
      </c>
      <c r="J32" s="51">
        <f t="shared" si="7"/>
        <v>0</v>
      </c>
      <c r="K32" s="51">
        <f t="shared" si="7"/>
        <v>0</v>
      </c>
      <c r="L32" s="51">
        <f t="shared" si="7"/>
        <v>0</v>
      </c>
      <c r="M32" s="51">
        <f t="shared" si="7"/>
        <v>0</v>
      </c>
      <c r="N32" s="51">
        <f t="shared" si="7"/>
        <v>0</v>
      </c>
      <c r="O32" s="51">
        <f t="shared" si="7"/>
        <v>0</v>
      </c>
      <c r="P32" s="51">
        <f t="shared" si="7"/>
        <v>0</v>
      </c>
      <c r="Q32" s="51">
        <f t="shared" si="7"/>
        <v>0</v>
      </c>
      <c r="R32" s="51">
        <f t="shared" si="7"/>
        <v>0</v>
      </c>
      <c r="S32" s="51">
        <f t="shared" si="7"/>
        <v>0</v>
      </c>
      <c r="T32" s="153">
        <f t="shared" si="7"/>
        <v>0</v>
      </c>
      <c r="U32" s="76"/>
      <c r="V32" s="74"/>
      <c r="W32" s="74"/>
      <c r="X32" s="74"/>
    </row>
    <row r="33" spans="1:25" s="1" customFormat="1" ht="11.25" customHeight="1">
      <c r="A33" s="156" t="s">
        <v>56</v>
      </c>
      <c r="B33" s="157"/>
      <c r="C33" s="157"/>
      <c r="D33" s="61">
        <f>D26+D14</f>
        <v>1415</v>
      </c>
      <c r="E33" s="177">
        <f>E26+E14</f>
        <v>167</v>
      </c>
      <c r="F33" s="150">
        <f t="shared" ref="F33:T33" si="8">SUM(F14,F26,F31)</f>
        <v>47.769999999999996</v>
      </c>
      <c r="G33" s="149">
        <f t="shared" si="8"/>
        <v>51.932666666666655</v>
      </c>
      <c r="H33" s="149">
        <f t="shared" si="8"/>
        <v>211.22333333333336</v>
      </c>
      <c r="I33" s="149">
        <f t="shared" si="8"/>
        <v>1433.6373333333333</v>
      </c>
      <c r="J33" s="150">
        <f t="shared" si="8"/>
        <v>1.0318666666666667</v>
      </c>
      <c r="K33" s="150">
        <f t="shared" si="8"/>
        <v>0.82166666666666677</v>
      </c>
      <c r="L33" s="149">
        <f t="shared" si="8"/>
        <v>56.304400000000001</v>
      </c>
      <c r="M33" s="150">
        <f t="shared" si="8"/>
        <v>12.148933333333334</v>
      </c>
      <c r="N33" s="150">
        <f t="shared" si="8"/>
        <v>8.0023333333333326</v>
      </c>
      <c r="O33" s="149">
        <f t="shared" si="8"/>
        <v>440.61733333333336</v>
      </c>
      <c r="P33" s="149">
        <f t="shared" si="8"/>
        <v>837.23866666666675</v>
      </c>
      <c r="Q33" s="150">
        <f t="shared" si="8"/>
        <v>7.8926666666666669</v>
      </c>
      <c r="R33" s="151">
        <f t="shared" si="8"/>
        <v>9.3799999999999994E-2</v>
      </c>
      <c r="S33" s="150">
        <f t="shared" si="8"/>
        <v>186.1106666666667</v>
      </c>
      <c r="T33" s="150">
        <f t="shared" si="8"/>
        <v>12.936666666666667</v>
      </c>
      <c r="U33" s="31"/>
      <c r="V33" s="74"/>
      <c r="W33" s="74"/>
      <c r="X33" s="74"/>
    </row>
    <row r="34" spans="1:25" s="1" customFormat="1" ht="11.25" customHeight="1">
      <c r="A34" s="207" t="s">
        <v>58</v>
      </c>
      <c r="B34" s="208"/>
      <c r="C34" s="208"/>
      <c r="D34" s="209"/>
      <c r="E34" s="127"/>
      <c r="F34" s="163">
        <v>90</v>
      </c>
      <c r="G34" s="161">
        <v>92</v>
      </c>
      <c r="H34" s="161">
        <v>383</v>
      </c>
      <c r="I34" s="161">
        <v>2720</v>
      </c>
      <c r="J34" s="163">
        <v>1.4</v>
      </c>
      <c r="K34" s="163">
        <v>1.6</v>
      </c>
      <c r="L34" s="162">
        <v>70</v>
      </c>
      <c r="M34" s="163">
        <v>0.9</v>
      </c>
      <c r="N34" s="162">
        <v>12</v>
      </c>
      <c r="O34" s="162">
        <v>1200</v>
      </c>
      <c r="P34" s="162">
        <v>1200</v>
      </c>
      <c r="Q34" s="162">
        <v>14</v>
      </c>
      <c r="R34" s="161">
        <v>0.1</v>
      </c>
      <c r="S34" s="162">
        <v>300</v>
      </c>
      <c r="T34" s="163">
        <v>18</v>
      </c>
      <c r="U34" s="77"/>
      <c r="V34" s="78"/>
      <c r="W34" s="78"/>
      <c r="X34" s="78"/>
    </row>
    <row r="35" spans="1:25" s="1" customFormat="1" ht="11.25" customHeight="1">
      <c r="A35" s="210" t="s">
        <v>57</v>
      </c>
      <c r="B35" s="211"/>
      <c r="C35" s="211"/>
      <c r="D35" s="212"/>
      <c r="E35" s="121"/>
      <c r="F35" s="51">
        <f t="shared" ref="F35:T35" si="9">F33/F34</f>
        <v>0.53077777777777768</v>
      </c>
      <c r="G35" s="153">
        <f t="shared" si="9"/>
        <v>0.56448550724637669</v>
      </c>
      <c r="H35" s="153">
        <f t="shared" si="9"/>
        <v>0.55149695387293307</v>
      </c>
      <c r="I35" s="153">
        <f t="shared" si="9"/>
        <v>0.52707254901960787</v>
      </c>
      <c r="J35" s="153">
        <f t="shared" si="9"/>
        <v>0.73704761904761917</v>
      </c>
      <c r="K35" s="153">
        <f t="shared" si="9"/>
        <v>0.51354166666666667</v>
      </c>
      <c r="L35" s="153">
        <f t="shared" si="9"/>
        <v>0.80434857142857141</v>
      </c>
      <c r="M35" s="33">
        <f t="shared" si="9"/>
        <v>13.498814814814814</v>
      </c>
      <c r="N35" s="33">
        <f t="shared" si="9"/>
        <v>0.66686111111111102</v>
      </c>
      <c r="O35" s="153">
        <f t="shared" si="9"/>
        <v>0.36718111111111112</v>
      </c>
      <c r="P35" s="153">
        <f t="shared" si="9"/>
        <v>0.69769888888888898</v>
      </c>
      <c r="Q35" s="153">
        <f t="shared" si="9"/>
        <v>0.5637619047619048</v>
      </c>
      <c r="R35" s="33">
        <f t="shared" si="9"/>
        <v>0.93799999999999994</v>
      </c>
      <c r="S35" s="153">
        <f t="shared" si="9"/>
        <v>0.62036888888888897</v>
      </c>
      <c r="T35" s="33">
        <f t="shared" si="9"/>
        <v>0.71870370370370373</v>
      </c>
      <c r="U35" s="38"/>
      <c r="V35" s="39"/>
      <c r="W35" s="39"/>
      <c r="X35" s="39"/>
    </row>
    <row r="36" spans="1:25" s="1" customFormat="1" ht="11.25" customHeight="1">
      <c r="A36" s="41"/>
      <c r="B36" s="41"/>
      <c r="C36" s="125"/>
      <c r="D36" s="125"/>
      <c r="E36" s="125"/>
      <c r="F36" s="59"/>
      <c r="G36" s="144"/>
      <c r="H36" s="2"/>
      <c r="I36" s="2"/>
      <c r="J36" s="144"/>
      <c r="K36" s="144"/>
      <c r="L36" s="144"/>
      <c r="M36" s="218" t="s">
        <v>59</v>
      </c>
      <c r="N36" s="218"/>
      <c r="O36" s="218"/>
      <c r="P36" s="218"/>
      <c r="Q36" s="218"/>
      <c r="R36" s="218"/>
      <c r="S36" s="218"/>
      <c r="T36" s="218"/>
      <c r="U36" s="10"/>
      <c r="V36" s="17"/>
      <c r="W36" s="17"/>
      <c r="X36" s="17"/>
    </row>
    <row r="37" spans="1:25" s="1" customFormat="1" ht="11.25" customHeight="1">
      <c r="A37" s="235" t="s">
        <v>30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11"/>
      <c r="V37" s="23"/>
      <c r="W37" s="23"/>
      <c r="X37" s="23"/>
      <c r="Y37" s="40"/>
    </row>
    <row r="38" spans="1:25" s="1" customFormat="1" ht="11.25" customHeight="1">
      <c r="A38" s="43" t="s">
        <v>50</v>
      </c>
      <c r="B38" s="41"/>
      <c r="C38" s="41"/>
      <c r="D38" s="2"/>
      <c r="E38" s="2"/>
      <c r="F38" s="140"/>
      <c r="G38" s="238" t="s">
        <v>31</v>
      </c>
      <c r="H38" s="238"/>
      <c r="I38" s="238"/>
      <c r="J38" s="144"/>
      <c r="K38" s="144"/>
      <c r="L38" s="219" t="s">
        <v>1</v>
      </c>
      <c r="M38" s="219"/>
      <c r="N38" s="248"/>
      <c r="O38" s="248"/>
      <c r="P38" s="248"/>
      <c r="Q38" s="248"/>
      <c r="R38" s="144"/>
      <c r="S38" s="144"/>
      <c r="T38" s="144"/>
      <c r="U38" s="12"/>
      <c r="V38" s="18"/>
      <c r="W38" s="18"/>
      <c r="X38" s="18"/>
    </row>
    <row r="39" spans="1:25" s="1" customFormat="1" ht="11.25" customHeight="1">
      <c r="A39" s="41"/>
      <c r="B39" s="41"/>
      <c r="C39" s="41"/>
      <c r="D39" s="219" t="s">
        <v>2</v>
      </c>
      <c r="E39" s="219"/>
      <c r="F39" s="219"/>
      <c r="G39" s="5">
        <v>1</v>
      </c>
      <c r="H39" s="144"/>
      <c r="I39" s="2"/>
      <c r="J39" s="2"/>
      <c r="K39" s="2"/>
      <c r="L39" s="219" t="s">
        <v>3</v>
      </c>
      <c r="M39" s="219"/>
      <c r="N39" s="238" t="str">
        <f>N4</f>
        <v>7-11 лет;12 и старше</v>
      </c>
      <c r="O39" s="238"/>
      <c r="P39" s="238"/>
      <c r="Q39" s="238"/>
      <c r="R39" s="238"/>
      <c r="S39" s="238"/>
      <c r="T39" s="238"/>
      <c r="U39" s="13"/>
      <c r="V39" s="19"/>
      <c r="W39" s="19"/>
      <c r="X39" s="19"/>
    </row>
    <row r="40" spans="1:25" s="1" customFormat="1" ht="21.75" customHeight="1">
      <c r="A40" s="246" t="s">
        <v>4</v>
      </c>
      <c r="B40" s="239" t="s">
        <v>5</v>
      </c>
      <c r="C40" s="240"/>
      <c r="D40" s="246" t="s">
        <v>6</v>
      </c>
      <c r="E40" s="124"/>
      <c r="F40" s="228" t="s">
        <v>7</v>
      </c>
      <c r="G40" s="229"/>
      <c r="H40" s="230"/>
      <c r="I40" s="246" t="s">
        <v>8</v>
      </c>
      <c r="J40" s="228" t="s">
        <v>9</v>
      </c>
      <c r="K40" s="229"/>
      <c r="L40" s="229"/>
      <c r="M40" s="229"/>
      <c r="N40" s="230"/>
      <c r="O40" s="228" t="s">
        <v>10</v>
      </c>
      <c r="P40" s="229"/>
      <c r="Q40" s="229"/>
      <c r="R40" s="229"/>
      <c r="S40" s="229"/>
      <c r="T40" s="230"/>
      <c r="U40" s="7"/>
      <c r="V40" s="20"/>
      <c r="W40" s="20"/>
      <c r="X40" s="20"/>
    </row>
    <row r="41" spans="1:25" s="1" customFormat="1" ht="21" customHeight="1">
      <c r="A41" s="247"/>
      <c r="B41" s="241"/>
      <c r="C41" s="242"/>
      <c r="D41" s="247"/>
      <c r="E41" s="123"/>
      <c r="F41" s="57" t="s">
        <v>11</v>
      </c>
      <c r="G41" s="129" t="s">
        <v>12</v>
      </c>
      <c r="H41" s="129" t="s">
        <v>13</v>
      </c>
      <c r="I41" s="247"/>
      <c r="J41" s="129" t="s">
        <v>14</v>
      </c>
      <c r="K41" s="129" t="s">
        <v>52</v>
      </c>
      <c r="L41" s="129" t="s">
        <v>15</v>
      </c>
      <c r="M41" s="129" t="s">
        <v>16</v>
      </c>
      <c r="N41" s="129" t="s">
        <v>17</v>
      </c>
      <c r="O41" s="129" t="s">
        <v>18</v>
      </c>
      <c r="P41" s="129" t="s">
        <v>19</v>
      </c>
      <c r="Q41" s="129" t="s">
        <v>53</v>
      </c>
      <c r="R41" s="129" t="s">
        <v>54</v>
      </c>
      <c r="S41" s="129" t="s">
        <v>20</v>
      </c>
      <c r="T41" s="129" t="s">
        <v>21</v>
      </c>
      <c r="U41" s="7"/>
      <c r="V41" s="20"/>
      <c r="W41" s="20"/>
      <c r="X41" s="20"/>
    </row>
    <row r="42" spans="1:25" s="1" customFormat="1" ht="11.25" customHeight="1">
      <c r="A42" s="172">
        <v>1</v>
      </c>
      <c r="B42" s="226">
        <v>2</v>
      </c>
      <c r="C42" s="227"/>
      <c r="D42" s="28">
        <v>3</v>
      </c>
      <c r="E42" s="28"/>
      <c r="F42" s="58">
        <v>4</v>
      </c>
      <c r="G42" s="28">
        <v>5</v>
      </c>
      <c r="H42" s="28">
        <v>6</v>
      </c>
      <c r="I42" s="28">
        <v>7</v>
      </c>
      <c r="J42" s="28">
        <v>8</v>
      </c>
      <c r="K42" s="28">
        <v>9</v>
      </c>
      <c r="L42" s="28">
        <v>10</v>
      </c>
      <c r="M42" s="28">
        <v>11</v>
      </c>
      <c r="N42" s="28">
        <v>12</v>
      </c>
      <c r="O42" s="28">
        <v>13</v>
      </c>
      <c r="P42" s="28">
        <v>14</v>
      </c>
      <c r="Q42" s="28">
        <v>15</v>
      </c>
      <c r="R42" s="28">
        <v>16</v>
      </c>
      <c r="S42" s="28">
        <v>17</v>
      </c>
      <c r="T42" s="28">
        <v>18</v>
      </c>
      <c r="U42" s="8"/>
      <c r="V42" s="21"/>
      <c r="W42" s="21"/>
      <c r="X42" s="21"/>
    </row>
    <row r="43" spans="1:25" s="1" customFormat="1" ht="11.25" customHeight="1">
      <c r="A43" s="251" t="str">
        <f>A109</f>
        <v xml:space="preserve">Завтрак 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3"/>
      <c r="U43" s="9"/>
      <c r="V43" s="22"/>
      <c r="W43" s="22"/>
      <c r="X43" s="22"/>
    </row>
    <row r="44" spans="1:25" s="130" customFormat="1" ht="20.25" customHeight="1">
      <c r="A44" s="190" t="s">
        <v>60</v>
      </c>
      <c r="B44" s="231" t="s">
        <v>80</v>
      </c>
      <c r="C44" s="231"/>
      <c r="D44" s="191">
        <v>20</v>
      </c>
      <c r="E44" s="192">
        <v>8</v>
      </c>
      <c r="F44" s="192">
        <v>1.25</v>
      </c>
      <c r="G44" s="192">
        <v>0</v>
      </c>
      <c r="H44" s="192">
        <v>9.5</v>
      </c>
      <c r="I44" s="192">
        <v>43</v>
      </c>
      <c r="J44" s="192">
        <v>8.0000000000000002E-3</v>
      </c>
      <c r="K44" s="192">
        <v>7.0000000000000001E-3</v>
      </c>
      <c r="L44" s="192">
        <v>0.16</v>
      </c>
      <c r="M44" s="192">
        <v>8.0000000000000002E-3</v>
      </c>
      <c r="N44" s="192">
        <v>0.03</v>
      </c>
      <c r="O44" s="192">
        <v>51.16</v>
      </c>
      <c r="P44" s="192">
        <v>36.5</v>
      </c>
      <c r="Q44" s="192">
        <v>0.16</v>
      </c>
      <c r="R44" s="192">
        <v>2E-3</v>
      </c>
      <c r="S44" s="192">
        <v>5.66</v>
      </c>
      <c r="T44" s="192">
        <v>0.03</v>
      </c>
      <c r="U44" s="68"/>
      <c r="V44" s="68"/>
      <c r="W44" s="68"/>
      <c r="X44" s="68"/>
      <c r="Y44" s="68"/>
    </row>
    <row r="45" spans="1:25" s="130" customFormat="1" ht="11.25" customHeight="1">
      <c r="A45" s="194">
        <v>222</v>
      </c>
      <c r="B45" s="233" t="s">
        <v>79</v>
      </c>
      <c r="C45" s="234"/>
      <c r="D45" s="191">
        <v>150</v>
      </c>
      <c r="E45" s="192">
        <v>45.1</v>
      </c>
      <c r="F45" s="67">
        <v>13.164999999999999</v>
      </c>
      <c r="G45" s="67">
        <v>12.68</v>
      </c>
      <c r="H45" s="67">
        <v>27.803000000000001</v>
      </c>
      <c r="I45" s="67">
        <v>278.065</v>
      </c>
      <c r="J45" s="67">
        <v>0.23</v>
      </c>
      <c r="K45" s="67">
        <v>0.36</v>
      </c>
      <c r="L45" s="67">
        <v>0.82</v>
      </c>
      <c r="M45" s="67">
        <v>0.18</v>
      </c>
      <c r="N45" s="67">
        <v>1.2</v>
      </c>
      <c r="O45" s="67">
        <v>190.55</v>
      </c>
      <c r="P45" s="67">
        <v>365.82</v>
      </c>
      <c r="Q45" s="67">
        <v>1.0589999999999999</v>
      </c>
      <c r="R45" s="67">
        <v>1.7999999999999999E-2</v>
      </c>
      <c r="S45" s="67">
        <v>82.83</v>
      </c>
      <c r="T45" s="67">
        <v>2.23</v>
      </c>
      <c r="U45" s="68"/>
      <c r="V45" s="68"/>
      <c r="W45" s="68"/>
      <c r="X45" s="68"/>
      <c r="Y45" s="68"/>
    </row>
    <row r="46" spans="1:25" s="130" customFormat="1" ht="12.75" customHeight="1">
      <c r="A46" s="172">
        <v>377</v>
      </c>
      <c r="B46" s="203" t="s">
        <v>43</v>
      </c>
      <c r="C46" s="203"/>
      <c r="D46" s="162">
        <v>200</v>
      </c>
      <c r="E46" s="163">
        <v>3.81</v>
      </c>
      <c r="F46" s="163">
        <v>0.26</v>
      </c>
      <c r="G46" s="163">
        <v>0.06</v>
      </c>
      <c r="H46" s="163">
        <v>15.22</v>
      </c>
      <c r="I46" s="163">
        <f>F46*4+G46*9+H46*4</f>
        <v>62.46</v>
      </c>
      <c r="J46" s="163"/>
      <c r="K46" s="163">
        <v>0.01</v>
      </c>
      <c r="L46" s="163">
        <v>2.9</v>
      </c>
      <c r="M46" s="160">
        <v>0</v>
      </c>
      <c r="N46" s="163">
        <v>0.06</v>
      </c>
      <c r="O46" s="163">
        <v>8.0500000000000007</v>
      </c>
      <c r="P46" s="163">
        <v>9.7799999999999994</v>
      </c>
      <c r="Q46" s="163">
        <v>1.7000000000000001E-2</v>
      </c>
      <c r="R46" s="164">
        <v>0</v>
      </c>
      <c r="S46" s="163">
        <v>5.24</v>
      </c>
      <c r="T46" s="163">
        <v>0.87</v>
      </c>
      <c r="U46" s="135"/>
      <c r="V46" s="136"/>
      <c r="W46" s="136"/>
      <c r="X46" s="136"/>
    </row>
    <row r="47" spans="1:25" s="130" customFormat="1" ht="11.25" customHeight="1">
      <c r="A47" s="174">
        <v>338</v>
      </c>
      <c r="B47" s="203" t="s">
        <v>87</v>
      </c>
      <c r="C47" s="203"/>
      <c r="D47" s="162">
        <v>130</v>
      </c>
      <c r="E47" s="163">
        <v>16.09</v>
      </c>
      <c r="F47" s="163">
        <v>0.4</v>
      </c>
      <c r="G47" s="163">
        <v>0.4</v>
      </c>
      <c r="H47" s="163">
        <v>9.8000000000000007</v>
      </c>
      <c r="I47" s="163">
        <f>F47*4+G47*9+H47*4</f>
        <v>44.400000000000006</v>
      </c>
      <c r="J47" s="163">
        <v>0.04</v>
      </c>
      <c r="K47" s="163">
        <v>0.02</v>
      </c>
      <c r="L47" s="162">
        <v>10</v>
      </c>
      <c r="M47" s="162">
        <v>0.02</v>
      </c>
      <c r="N47" s="163">
        <v>0.2</v>
      </c>
      <c r="O47" s="163">
        <v>16</v>
      </c>
      <c r="P47" s="163">
        <v>11</v>
      </c>
      <c r="Q47" s="162">
        <v>0.03</v>
      </c>
      <c r="R47" s="162">
        <v>2E-3</v>
      </c>
      <c r="S47" s="163">
        <v>9</v>
      </c>
      <c r="T47" s="163">
        <v>2.2000000000000002</v>
      </c>
      <c r="U47" s="135"/>
      <c r="V47" s="131"/>
      <c r="W47" s="131"/>
      <c r="X47" s="132"/>
    </row>
    <row r="48" spans="1:25" s="73" customFormat="1" ht="14.25" customHeight="1">
      <c r="A48" s="46" t="str">
        <f>A115</f>
        <v>Итого за Завтрак молочный</v>
      </c>
      <c r="B48" s="47"/>
      <c r="C48" s="47"/>
      <c r="D48" s="158">
        <f t="shared" ref="D48:T48" si="10">SUM(D44:D47)</f>
        <v>500</v>
      </c>
      <c r="E48" s="175">
        <f t="shared" si="10"/>
        <v>73</v>
      </c>
      <c r="F48" s="175">
        <f t="shared" si="10"/>
        <v>15.074999999999999</v>
      </c>
      <c r="G48" s="175">
        <f t="shared" si="10"/>
        <v>13.14</v>
      </c>
      <c r="H48" s="175">
        <f t="shared" si="10"/>
        <v>62.322999999999993</v>
      </c>
      <c r="I48" s="175">
        <f t="shared" si="10"/>
        <v>427.92499999999995</v>
      </c>
      <c r="J48" s="175">
        <f t="shared" si="10"/>
        <v>0.27800000000000002</v>
      </c>
      <c r="K48" s="175">
        <f t="shared" si="10"/>
        <v>0.39700000000000002</v>
      </c>
      <c r="L48" s="175">
        <f t="shared" si="10"/>
        <v>13.879999999999999</v>
      </c>
      <c r="M48" s="175">
        <f t="shared" si="10"/>
        <v>0.20799999999999999</v>
      </c>
      <c r="N48" s="175">
        <f t="shared" si="10"/>
        <v>1.49</v>
      </c>
      <c r="O48" s="175">
        <f t="shared" si="10"/>
        <v>265.76</v>
      </c>
      <c r="P48" s="175">
        <f t="shared" si="10"/>
        <v>423.09999999999997</v>
      </c>
      <c r="Q48" s="175">
        <f t="shared" si="10"/>
        <v>1.2659999999999998</v>
      </c>
      <c r="R48" s="175">
        <f t="shared" si="10"/>
        <v>2.1999999999999999E-2</v>
      </c>
      <c r="S48" s="175">
        <f t="shared" si="10"/>
        <v>102.72999999999999</v>
      </c>
      <c r="T48" s="175">
        <f t="shared" si="10"/>
        <v>5.33</v>
      </c>
      <c r="U48" s="29"/>
      <c r="V48" s="74"/>
      <c r="W48" s="74"/>
      <c r="X48" s="74"/>
    </row>
    <row r="49" spans="1:24" s="73" customFormat="1" ht="14.25" customHeight="1">
      <c r="A49" s="210" t="s">
        <v>57</v>
      </c>
      <c r="B49" s="211"/>
      <c r="C49" s="211"/>
      <c r="D49" s="212"/>
      <c r="E49" s="121"/>
      <c r="F49" s="51">
        <f t="shared" ref="F49:T49" si="11">F48/F66</f>
        <v>0.16749999999999998</v>
      </c>
      <c r="G49" s="51">
        <f t="shared" si="11"/>
        <v>0.14282608695652174</v>
      </c>
      <c r="H49" s="51">
        <f t="shared" si="11"/>
        <v>0.16272323759791121</v>
      </c>
      <c r="I49" s="51">
        <f t="shared" si="11"/>
        <v>0.15732536764705882</v>
      </c>
      <c r="J49" s="51">
        <f t="shared" si="11"/>
        <v>0.19857142857142859</v>
      </c>
      <c r="K49" s="51">
        <f t="shared" si="11"/>
        <v>0.24812500000000001</v>
      </c>
      <c r="L49" s="51">
        <f t="shared" si="11"/>
        <v>0.19828571428571426</v>
      </c>
      <c r="M49" s="51">
        <f t="shared" si="11"/>
        <v>0.2311111111111111</v>
      </c>
      <c r="N49" s="51">
        <f t="shared" si="11"/>
        <v>0.12416666666666666</v>
      </c>
      <c r="O49" s="153">
        <f t="shared" si="11"/>
        <v>0.22146666666666667</v>
      </c>
      <c r="P49" s="51">
        <f t="shared" si="11"/>
        <v>0.3525833333333333</v>
      </c>
      <c r="Q49" s="51">
        <f t="shared" si="11"/>
        <v>9.0428571428571414E-2</v>
      </c>
      <c r="R49" s="51">
        <f t="shared" si="11"/>
        <v>0.21999999999999997</v>
      </c>
      <c r="S49" s="51">
        <f t="shared" si="11"/>
        <v>0.34243333333333331</v>
      </c>
      <c r="T49" s="153">
        <f t="shared" si="11"/>
        <v>0.2961111111111111</v>
      </c>
      <c r="U49" s="76"/>
      <c r="V49" s="74"/>
      <c r="W49" s="74"/>
      <c r="X49" s="74"/>
    </row>
    <row r="50" spans="1:24" s="73" customFormat="1" ht="11.25" customHeight="1">
      <c r="A50" s="215" t="s">
        <v>26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7"/>
      <c r="U50" s="9"/>
      <c r="V50" s="22"/>
      <c r="W50" s="22"/>
      <c r="X50" s="22"/>
    </row>
    <row r="51" spans="1:24" s="180" customFormat="1" ht="13.5" customHeight="1">
      <c r="A51" s="172">
        <v>49</v>
      </c>
      <c r="B51" s="201" t="s">
        <v>93</v>
      </c>
      <c r="C51" s="202"/>
      <c r="D51" s="160">
        <v>75</v>
      </c>
      <c r="E51" s="160">
        <v>11.29</v>
      </c>
      <c r="F51" s="163">
        <v>1.56</v>
      </c>
      <c r="G51" s="163">
        <v>12.03</v>
      </c>
      <c r="H51" s="163">
        <v>8.7799999999999994</v>
      </c>
      <c r="I51" s="163">
        <v>149.69999999999999</v>
      </c>
      <c r="J51" s="164">
        <v>0.05</v>
      </c>
      <c r="K51" s="164">
        <v>0.05</v>
      </c>
      <c r="L51" s="163">
        <v>20.66</v>
      </c>
      <c r="M51" s="163">
        <v>2E-3</v>
      </c>
      <c r="N51" s="160">
        <v>2.5</v>
      </c>
      <c r="O51" s="161">
        <v>32.83</v>
      </c>
      <c r="P51" s="161">
        <v>33.85</v>
      </c>
      <c r="Q51" s="163">
        <v>0.5</v>
      </c>
      <c r="R51" s="164">
        <v>2E-3</v>
      </c>
      <c r="S51" s="163">
        <v>16.63</v>
      </c>
      <c r="T51" s="163">
        <v>0.56000000000000005</v>
      </c>
      <c r="U51" s="178"/>
      <c r="V51" s="179"/>
      <c r="W51" s="179"/>
      <c r="X51" s="179"/>
    </row>
    <row r="52" spans="1:24" s="180" customFormat="1" ht="22.5" customHeight="1">
      <c r="A52" s="172">
        <v>82</v>
      </c>
      <c r="B52" s="201" t="s">
        <v>81</v>
      </c>
      <c r="C52" s="202"/>
      <c r="D52" s="160">
        <v>250</v>
      </c>
      <c r="E52" s="160">
        <v>14.27</v>
      </c>
      <c r="F52" s="163">
        <v>2.4300000000000002</v>
      </c>
      <c r="G52" s="163">
        <v>3.12</v>
      </c>
      <c r="H52" s="163">
        <v>12.01</v>
      </c>
      <c r="I52" s="163">
        <f t="shared" ref="I52:I57" si="12">F52*4+G52*9+H52*4</f>
        <v>85.84</v>
      </c>
      <c r="J52" s="160">
        <v>6.4000000000000001E-2</v>
      </c>
      <c r="K52" s="160">
        <v>6.4000000000000001E-2</v>
      </c>
      <c r="L52" s="163">
        <v>20.98</v>
      </c>
      <c r="M52" s="164">
        <v>7.5999999999999998E-2</v>
      </c>
      <c r="N52" s="163">
        <v>0.25700000000000001</v>
      </c>
      <c r="O52" s="163">
        <v>49.59</v>
      </c>
      <c r="P52" s="163">
        <v>58.68</v>
      </c>
      <c r="Q52" s="163">
        <v>0.746</v>
      </c>
      <c r="R52" s="164">
        <v>1.0999999999999999E-2</v>
      </c>
      <c r="S52" s="163">
        <v>25.43</v>
      </c>
      <c r="T52" s="163">
        <v>1.32</v>
      </c>
      <c r="U52" s="178"/>
      <c r="V52" s="179"/>
      <c r="W52" s="179"/>
      <c r="X52" s="179"/>
    </row>
    <row r="53" spans="1:24" s="180" customFormat="1" ht="12.75" customHeight="1">
      <c r="A53" s="172">
        <v>293</v>
      </c>
      <c r="B53" s="201" t="s">
        <v>84</v>
      </c>
      <c r="C53" s="202"/>
      <c r="D53" s="162">
        <v>110</v>
      </c>
      <c r="E53" s="163">
        <v>44.04</v>
      </c>
      <c r="F53" s="163">
        <v>33.090000000000003</v>
      </c>
      <c r="G53" s="163">
        <v>27.34</v>
      </c>
      <c r="H53" s="163">
        <v>8.82</v>
      </c>
      <c r="I53" s="163">
        <v>414.37</v>
      </c>
      <c r="J53" s="163">
        <v>0.09</v>
      </c>
      <c r="K53" s="163">
        <v>0</v>
      </c>
      <c r="L53" s="163">
        <v>4.4999999999999998E-2</v>
      </c>
      <c r="M53" s="162">
        <v>80.62</v>
      </c>
      <c r="N53" s="160">
        <v>0</v>
      </c>
      <c r="O53" s="161">
        <v>102.19</v>
      </c>
      <c r="P53" s="163">
        <v>249.19</v>
      </c>
      <c r="Q53" s="162">
        <v>0</v>
      </c>
      <c r="R53" s="162">
        <v>0</v>
      </c>
      <c r="S53" s="163">
        <v>38.07</v>
      </c>
      <c r="T53" s="163">
        <v>3.04</v>
      </c>
      <c r="U53" s="178"/>
      <c r="V53" s="179"/>
      <c r="W53" s="179"/>
      <c r="X53" s="179"/>
    </row>
    <row r="54" spans="1:24" s="180" customFormat="1" ht="12.75" customHeight="1">
      <c r="A54" s="167">
        <v>171</v>
      </c>
      <c r="B54" s="201" t="s">
        <v>22</v>
      </c>
      <c r="C54" s="202"/>
      <c r="D54" s="162">
        <v>180</v>
      </c>
      <c r="E54" s="163">
        <v>14.6</v>
      </c>
      <c r="F54" s="163">
        <f>6.57*D54/150</f>
        <v>7.8840000000000012</v>
      </c>
      <c r="G54" s="163">
        <f>4.19*D54/150</f>
        <v>5.0280000000000005</v>
      </c>
      <c r="H54" s="163">
        <f>32.32*D54/150</f>
        <v>38.783999999999999</v>
      </c>
      <c r="I54" s="163">
        <f>F54*4+G54*9+H54*4</f>
        <v>231.92400000000001</v>
      </c>
      <c r="J54" s="164">
        <f>0.06*D54/150</f>
        <v>7.1999999999999995E-2</v>
      </c>
      <c r="K54" s="164">
        <f>0.03*D54/150</f>
        <v>3.5999999999999997E-2</v>
      </c>
      <c r="L54" s="160">
        <v>0</v>
      </c>
      <c r="M54" s="164">
        <f>0.03*D54/150</f>
        <v>3.5999999999999997E-2</v>
      </c>
      <c r="N54" s="160">
        <f>2.55*D54/150</f>
        <v>3.0599999999999996</v>
      </c>
      <c r="O54" s="163">
        <f>18.12*D54/150</f>
        <v>21.744000000000003</v>
      </c>
      <c r="P54" s="163">
        <f>157.03*D54/150</f>
        <v>188.43600000000001</v>
      </c>
      <c r="Q54" s="164">
        <f>0.8874*D54/150</f>
        <v>1.06488</v>
      </c>
      <c r="R54" s="164">
        <f>0.00135*D54/150</f>
        <v>1.6200000000000001E-3</v>
      </c>
      <c r="S54" s="163">
        <f>104.45*D54/150</f>
        <v>125.34</v>
      </c>
      <c r="T54" s="163">
        <f>3.55*D54/150</f>
        <v>4.26</v>
      </c>
      <c r="U54" s="178"/>
      <c r="V54" s="179"/>
      <c r="W54" s="179"/>
      <c r="X54" s="179"/>
    </row>
    <row r="55" spans="1:24" s="184" customFormat="1" ht="14.25" customHeight="1">
      <c r="A55" s="90">
        <v>699</v>
      </c>
      <c r="B55" s="250" t="s">
        <v>97</v>
      </c>
      <c r="C55" s="214"/>
      <c r="D55" s="80">
        <v>200</v>
      </c>
      <c r="E55" s="81">
        <v>5.2</v>
      </c>
      <c r="F55" s="81">
        <v>0.1</v>
      </c>
      <c r="G55" s="82">
        <v>0</v>
      </c>
      <c r="H55" s="83">
        <v>15.7</v>
      </c>
      <c r="I55" s="81">
        <v>63.2</v>
      </c>
      <c r="J55" s="82">
        <v>1.7999999999999999E-2</v>
      </c>
      <c r="K55" s="82">
        <v>1.2E-2</v>
      </c>
      <c r="L55" s="83">
        <v>8</v>
      </c>
      <c r="M55" s="82">
        <v>0</v>
      </c>
      <c r="N55" s="81">
        <v>0.2</v>
      </c>
      <c r="O55" s="81">
        <v>10.8</v>
      </c>
      <c r="P55" s="81">
        <v>1.7</v>
      </c>
      <c r="Q55" s="81">
        <v>0</v>
      </c>
      <c r="R55" s="84">
        <v>0</v>
      </c>
      <c r="S55" s="81">
        <v>5.8</v>
      </c>
      <c r="T55" s="81">
        <v>1.6</v>
      </c>
    </row>
    <row r="56" spans="1:24" s="180" customFormat="1" ht="11.25" customHeight="1">
      <c r="A56" s="52" t="s">
        <v>60</v>
      </c>
      <c r="B56" s="201" t="s">
        <v>44</v>
      </c>
      <c r="C56" s="202"/>
      <c r="D56" s="162">
        <v>40</v>
      </c>
      <c r="E56" s="163">
        <v>2.08</v>
      </c>
      <c r="F56" s="163">
        <f>2.64*D56/40</f>
        <v>2.64</v>
      </c>
      <c r="G56" s="163">
        <f>0.48*D56/40</f>
        <v>0.48</v>
      </c>
      <c r="H56" s="163">
        <f>13.68*D56/40</f>
        <v>13.680000000000001</v>
      </c>
      <c r="I56" s="163">
        <f t="shared" si="12"/>
        <v>69.600000000000009</v>
      </c>
      <c r="J56" s="160">
        <f>0.08*D56/40</f>
        <v>0.08</v>
      </c>
      <c r="K56" s="163">
        <f>0.04*D56/40</f>
        <v>0.04</v>
      </c>
      <c r="L56" s="162">
        <v>0</v>
      </c>
      <c r="M56" s="162">
        <v>0</v>
      </c>
      <c r="N56" s="163">
        <f>2.4*D56/40</f>
        <v>2.4</v>
      </c>
      <c r="O56" s="163">
        <f>14*D56/40</f>
        <v>14</v>
      </c>
      <c r="P56" s="163">
        <f>63.2*D56/40</f>
        <v>63.2</v>
      </c>
      <c r="Q56" s="163">
        <f>1.2*D56/40</f>
        <v>1.2</v>
      </c>
      <c r="R56" s="164">
        <f>0.001*D56/40</f>
        <v>1E-3</v>
      </c>
      <c r="S56" s="163">
        <f>9.4*D56/40</f>
        <v>9.4</v>
      </c>
      <c r="T56" s="160">
        <f>0.78*D56/40</f>
        <v>0.78</v>
      </c>
      <c r="U56" s="188"/>
      <c r="V56" s="189"/>
      <c r="W56" s="189"/>
      <c r="X56" s="189"/>
    </row>
    <row r="57" spans="1:24" s="73" customFormat="1" ht="11.25" customHeight="1">
      <c r="A57" s="167" t="s">
        <v>60</v>
      </c>
      <c r="B57" s="201" t="s">
        <v>49</v>
      </c>
      <c r="C57" s="202"/>
      <c r="D57" s="162">
        <v>30</v>
      </c>
      <c r="E57" s="163">
        <v>2.52</v>
      </c>
      <c r="F57" s="163">
        <f>1.52*D57/30</f>
        <v>1.52</v>
      </c>
      <c r="G57" s="164">
        <f>0.16*D57/30</f>
        <v>0.16</v>
      </c>
      <c r="H57" s="164">
        <f>9.84*D57/30</f>
        <v>9.84</v>
      </c>
      <c r="I57" s="164">
        <f t="shared" si="12"/>
        <v>46.879999999999995</v>
      </c>
      <c r="J57" s="164">
        <f>0.02*D57/30</f>
        <v>0.02</v>
      </c>
      <c r="K57" s="164">
        <f>0.01*D57/30</f>
        <v>0.01</v>
      </c>
      <c r="L57" s="164">
        <f>0.44*D57/30</f>
        <v>0.44</v>
      </c>
      <c r="M57" s="164">
        <v>0</v>
      </c>
      <c r="N57" s="164">
        <f>0.7*D57/30</f>
        <v>0.7</v>
      </c>
      <c r="O57" s="164">
        <f>4*D57/30</f>
        <v>4</v>
      </c>
      <c r="P57" s="164">
        <f>13*D57/30</f>
        <v>13</v>
      </c>
      <c r="Q57" s="164">
        <f>0.008*D57/30</f>
        <v>8.0000000000000002E-3</v>
      </c>
      <c r="R57" s="164">
        <f>0.001*D57/30</f>
        <v>1E-3</v>
      </c>
      <c r="S57" s="164">
        <v>0</v>
      </c>
      <c r="T57" s="164">
        <f>0.22*D57/30</f>
        <v>0.22</v>
      </c>
      <c r="U57" s="77"/>
      <c r="V57" s="78"/>
      <c r="W57" s="78"/>
      <c r="X57" s="78"/>
    </row>
    <row r="58" spans="1:24" s="73" customFormat="1" ht="11.25" customHeight="1">
      <c r="A58" s="156" t="s">
        <v>27</v>
      </c>
      <c r="B58" s="157"/>
      <c r="C58" s="157"/>
      <c r="D58" s="158">
        <f t="shared" ref="D58:I58" si="13">SUM(D51:D57)</f>
        <v>885</v>
      </c>
      <c r="E58" s="175">
        <f t="shared" si="13"/>
        <v>93.999999999999986</v>
      </c>
      <c r="F58" s="150">
        <f t="shared" si="13"/>
        <v>49.224000000000011</v>
      </c>
      <c r="G58" s="149">
        <f t="shared" si="13"/>
        <v>48.157999999999987</v>
      </c>
      <c r="H58" s="149">
        <f t="shared" si="13"/>
        <v>107.61400000000002</v>
      </c>
      <c r="I58" s="149">
        <f t="shared" si="13"/>
        <v>1061.5140000000001</v>
      </c>
      <c r="J58" s="150">
        <f t="shared" ref="J58:S58" si="14">SUM(J51:J57)</f>
        <v>0.39400000000000007</v>
      </c>
      <c r="K58" s="150">
        <f t="shared" si="14"/>
        <v>0.21200000000000002</v>
      </c>
      <c r="L58" s="149">
        <f t="shared" si="14"/>
        <v>50.125</v>
      </c>
      <c r="M58" s="150">
        <f t="shared" si="14"/>
        <v>80.734000000000009</v>
      </c>
      <c r="N58" s="32">
        <f t="shared" si="14"/>
        <v>9.1169999999999991</v>
      </c>
      <c r="O58" s="149">
        <f t="shared" si="14"/>
        <v>235.15400000000002</v>
      </c>
      <c r="P58" s="150">
        <f t="shared" si="14"/>
        <v>608.05600000000015</v>
      </c>
      <c r="Q58" s="149">
        <f t="shared" si="14"/>
        <v>3.5188800000000002</v>
      </c>
      <c r="R58" s="151">
        <f t="shared" si="14"/>
        <v>1.6619999999999999E-2</v>
      </c>
      <c r="S58" s="155">
        <f t="shared" si="14"/>
        <v>220.67000000000002</v>
      </c>
      <c r="T58" s="150">
        <f>SUM(T51:T57)</f>
        <v>11.78</v>
      </c>
      <c r="U58" s="29"/>
      <c r="V58" s="74"/>
      <c r="W58" s="74"/>
      <c r="X58" s="74"/>
    </row>
    <row r="59" spans="1:24" s="73" customFormat="1" ht="11.25" customHeight="1">
      <c r="A59" s="210" t="s">
        <v>57</v>
      </c>
      <c r="B59" s="211"/>
      <c r="C59" s="211"/>
      <c r="D59" s="212"/>
      <c r="E59" s="173"/>
      <c r="F59" s="171">
        <f t="shared" ref="F59:T59" si="15">F58/F66</f>
        <v>0.54693333333333349</v>
      </c>
      <c r="G59" s="51">
        <f t="shared" si="15"/>
        <v>0.52345652173913026</v>
      </c>
      <c r="H59" s="51">
        <f t="shared" si="15"/>
        <v>0.28097650130548307</v>
      </c>
      <c r="I59" s="51">
        <f t="shared" si="15"/>
        <v>0.39026250000000007</v>
      </c>
      <c r="J59" s="51">
        <f t="shared" si="15"/>
        <v>0.28142857142857147</v>
      </c>
      <c r="K59" s="51">
        <f t="shared" si="15"/>
        <v>0.13250000000000001</v>
      </c>
      <c r="L59" s="51">
        <f t="shared" si="15"/>
        <v>0.71607142857142858</v>
      </c>
      <c r="M59" s="51">
        <f t="shared" si="15"/>
        <v>89.704444444444448</v>
      </c>
      <c r="N59" s="51">
        <f t="shared" si="15"/>
        <v>0.75974999999999993</v>
      </c>
      <c r="O59" s="153">
        <f t="shared" si="15"/>
        <v>0.1959616666666667</v>
      </c>
      <c r="P59" s="51">
        <f t="shared" si="15"/>
        <v>0.50671333333333346</v>
      </c>
      <c r="Q59" s="51">
        <f t="shared" si="15"/>
        <v>0.25134857142857142</v>
      </c>
      <c r="R59" s="51">
        <f t="shared" si="15"/>
        <v>0.16619999999999999</v>
      </c>
      <c r="S59" s="51">
        <f t="shared" si="15"/>
        <v>0.7355666666666667</v>
      </c>
      <c r="T59" s="153">
        <f t="shared" si="15"/>
        <v>0.65444444444444438</v>
      </c>
      <c r="U59" s="76"/>
      <c r="V59" s="74"/>
      <c r="W59" s="74"/>
      <c r="X59" s="74"/>
    </row>
    <row r="60" spans="1:24" s="73" customFormat="1" ht="11.25" customHeight="1">
      <c r="A60" s="215" t="s">
        <v>28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7"/>
      <c r="U60" s="9"/>
      <c r="V60" s="22"/>
      <c r="W60" s="22"/>
      <c r="X60" s="22"/>
    </row>
    <row r="61" spans="1:24" s="68" customFormat="1" ht="11.25" customHeight="1">
      <c r="A61" s="194"/>
      <c r="B61" s="231"/>
      <c r="C61" s="231"/>
      <c r="D61" s="191"/>
      <c r="E61" s="192"/>
      <c r="F61" s="192"/>
      <c r="G61" s="197"/>
      <c r="H61" s="197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</row>
    <row r="62" spans="1:24" s="68" customFormat="1" ht="12.75" customHeight="1">
      <c r="A62" s="87"/>
      <c r="B62" s="206"/>
      <c r="C62" s="206"/>
      <c r="D62" s="71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:24" s="1" customFormat="1" ht="11.25" customHeight="1">
      <c r="A63" s="156" t="s">
        <v>29</v>
      </c>
      <c r="B63" s="157"/>
      <c r="C63" s="157"/>
      <c r="D63" s="158">
        <f t="shared" ref="D63:I63" si="16">SUM(D61:D62)</f>
        <v>0</v>
      </c>
      <c r="E63" s="175">
        <f t="shared" si="16"/>
        <v>0</v>
      </c>
      <c r="F63" s="150">
        <f t="shared" si="16"/>
        <v>0</v>
      </c>
      <c r="G63" s="149">
        <f t="shared" si="16"/>
        <v>0</v>
      </c>
      <c r="H63" s="149">
        <f t="shared" si="16"/>
        <v>0</v>
      </c>
      <c r="I63" s="149">
        <f t="shared" si="16"/>
        <v>0</v>
      </c>
      <c r="J63" s="150">
        <f t="shared" ref="J63:T63" si="17">SUM(J61:J62)</f>
        <v>0</v>
      </c>
      <c r="K63" s="150">
        <f t="shared" si="17"/>
        <v>0</v>
      </c>
      <c r="L63" s="149">
        <f t="shared" si="17"/>
        <v>0</v>
      </c>
      <c r="M63" s="150">
        <f t="shared" si="17"/>
        <v>0</v>
      </c>
      <c r="N63" s="149">
        <f t="shared" si="17"/>
        <v>0</v>
      </c>
      <c r="O63" s="149">
        <f t="shared" si="17"/>
        <v>0</v>
      </c>
      <c r="P63" s="149">
        <f t="shared" si="17"/>
        <v>0</v>
      </c>
      <c r="Q63" s="149">
        <f t="shared" si="17"/>
        <v>0</v>
      </c>
      <c r="R63" s="151">
        <f t="shared" si="17"/>
        <v>0</v>
      </c>
      <c r="S63" s="149">
        <f t="shared" si="17"/>
        <v>0</v>
      </c>
      <c r="T63" s="150">
        <f t="shared" si="17"/>
        <v>0</v>
      </c>
      <c r="U63" s="29"/>
      <c r="V63" s="74"/>
      <c r="W63" s="74"/>
      <c r="X63" s="74"/>
    </row>
    <row r="64" spans="1:24" s="1" customFormat="1" ht="11.25" customHeight="1">
      <c r="A64" s="210" t="s">
        <v>57</v>
      </c>
      <c r="B64" s="211"/>
      <c r="C64" s="211"/>
      <c r="D64" s="212"/>
      <c r="E64" s="121"/>
      <c r="F64" s="51">
        <f>F63/F66</f>
        <v>0</v>
      </c>
      <c r="G64" s="51">
        <f t="shared" ref="G64:T64" si="18">G63/G66</f>
        <v>0</v>
      </c>
      <c r="H64" s="51">
        <f t="shared" si="18"/>
        <v>0</v>
      </c>
      <c r="I64" s="51">
        <f t="shared" si="18"/>
        <v>0</v>
      </c>
      <c r="J64" s="51">
        <f t="shared" si="18"/>
        <v>0</v>
      </c>
      <c r="K64" s="51">
        <f t="shared" si="18"/>
        <v>0</v>
      </c>
      <c r="L64" s="51">
        <f t="shared" si="18"/>
        <v>0</v>
      </c>
      <c r="M64" s="51">
        <f t="shared" si="18"/>
        <v>0</v>
      </c>
      <c r="N64" s="51">
        <f t="shared" si="18"/>
        <v>0</v>
      </c>
      <c r="O64" s="51">
        <f t="shared" si="18"/>
        <v>0</v>
      </c>
      <c r="P64" s="51">
        <f t="shared" si="18"/>
        <v>0</v>
      </c>
      <c r="Q64" s="51">
        <f t="shared" si="18"/>
        <v>0</v>
      </c>
      <c r="R64" s="51">
        <f t="shared" si="18"/>
        <v>0</v>
      </c>
      <c r="S64" s="51">
        <f t="shared" si="18"/>
        <v>0</v>
      </c>
      <c r="T64" s="153">
        <f t="shared" si="18"/>
        <v>0</v>
      </c>
      <c r="U64" s="76"/>
      <c r="V64" s="74"/>
      <c r="W64" s="74"/>
      <c r="X64" s="74"/>
    </row>
    <row r="65" spans="1:24" s="1" customFormat="1" ht="11.25" customHeight="1">
      <c r="A65" s="156" t="s">
        <v>56</v>
      </c>
      <c r="B65" s="157"/>
      <c r="C65" s="157"/>
      <c r="D65" s="61">
        <f>D58+D48</f>
        <v>1385</v>
      </c>
      <c r="E65" s="177">
        <f>E58+E48</f>
        <v>167</v>
      </c>
      <c r="F65" s="150">
        <f t="shared" ref="F65:T65" si="19">SUM(F48,F58,F63)</f>
        <v>64.299000000000007</v>
      </c>
      <c r="G65" s="149">
        <f t="shared" si="19"/>
        <v>61.297999999999988</v>
      </c>
      <c r="H65" s="149">
        <f t="shared" si="19"/>
        <v>169.93700000000001</v>
      </c>
      <c r="I65" s="149">
        <f t="shared" si="19"/>
        <v>1489.4390000000001</v>
      </c>
      <c r="J65" s="150">
        <f t="shared" si="19"/>
        <v>0.67200000000000015</v>
      </c>
      <c r="K65" s="150">
        <f t="shared" si="19"/>
        <v>0.60899999999999999</v>
      </c>
      <c r="L65" s="155">
        <f t="shared" si="19"/>
        <v>64.004999999999995</v>
      </c>
      <c r="M65" s="150">
        <f t="shared" si="19"/>
        <v>80.942000000000007</v>
      </c>
      <c r="N65" s="155">
        <f t="shared" si="19"/>
        <v>10.606999999999999</v>
      </c>
      <c r="O65" s="149">
        <f t="shared" si="19"/>
        <v>500.91399999999999</v>
      </c>
      <c r="P65" s="149">
        <f t="shared" si="19"/>
        <v>1031.1560000000002</v>
      </c>
      <c r="Q65" s="149">
        <f t="shared" si="19"/>
        <v>4.7848800000000002</v>
      </c>
      <c r="R65" s="151">
        <f t="shared" si="19"/>
        <v>3.8620000000000002E-2</v>
      </c>
      <c r="S65" s="150">
        <f t="shared" si="19"/>
        <v>323.39999999999998</v>
      </c>
      <c r="T65" s="150">
        <f t="shared" si="19"/>
        <v>17.11</v>
      </c>
      <c r="U65" s="31"/>
      <c r="V65" s="74"/>
      <c r="W65" s="74"/>
      <c r="X65" s="74"/>
    </row>
    <row r="66" spans="1:24" s="1" customFormat="1" ht="11.25" customHeight="1">
      <c r="A66" s="207" t="s">
        <v>58</v>
      </c>
      <c r="B66" s="208"/>
      <c r="C66" s="208"/>
      <c r="D66" s="209"/>
      <c r="E66" s="127"/>
      <c r="F66" s="163">
        <v>90</v>
      </c>
      <c r="G66" s="161">
        <v>92</v>
      </c>
      <c r="H66" s="161">
        <v>383</v>
      </c>
      <c r="I66" s="161">
        <v>2720</v>
      </c>
      <c r="J66" s="163">
        <v>1.4</v>
      </c>
      <c r="K66" s="163">
        <v>1.6</v>
      </c>
      <c r="L66" s="162">
        <v>70</v>
      </c>
      <c r="M66" s="163">
        <v>0.9</v>
      </c>
      <c r="N66" s="162">
        <v>12</v>
      </c>
      <c r="O66" s="162">
        <v>1200</v>
      </c>
      <c r="P66" s="162">
        <v>1200</v>
      </c>
      <c r="Q66" s="162">
        <v>14</v>
      </c>
      <c r="R66" s="161">
        <v>0.1</v>
      </c>
      <c r="S66" s="162">
        <v>300</v>
      </c>
      <c r="T66" s="163">
        <v>18</v>
      </c>
      <c r="U66" s="77"/>
      <c r="V66" s="78"/>
      <c r="W66" s="78"/>
      <c r="X66" s="78"/>
    </row>
    <row r="67" spans="1:24" s="6" customFormat="1" ht="11.25" customHeight="1">
      <c r="A67" s="210" t="s">
        <v>57</v>
      </c>
      <c r="B67" s="211"/>
      <c r="C67" s="211"/>
      <c r="D67" s="212"/>
      <c r="E67" s="121"/>
      <c r="F67" s="51">
        <f t="shared" ref="F67:T67" si="20">F65/F66</f>
        <v>0.71443333333333336</v>
      </c>
      <c r="G67" s="153">
        <f t="shared" si="20"/>
        <v>0.66628260869565203</v>
      </c>
      <c r="H67" s="153">
        <f t="shared" si="20"/>
        <v>0.44369973890339431</v>
      </c>
      <c r="I67" s="153">
        <f t="shared" si="20"/>
        <v>0.5475878676470588</v>
      </c>
      <c r="J67" s="153">
        <f t="shared" si="20"/>
        <v>0.48000000000000015</v>
      </c>
      <c r="K67" s="153">
        <f t="shared" si="20"/>
        <v>0.38062499999999999</v>
      </c>
      <c r="L67" s="153">
        <f t="shared" si="20"/>
        <v>0.91435714285714276</v>
      </c>
      <c r="M67" s="33">
        <f t="shared" si="20"/>
        <v>89.935555555555567</v>
      </c>
      <c r="N67" s="153">
        <f t="shared" si="20"/>
        <v>0.88391666666666657</v>
      </c>
      <c r="O67" s="153">
        <f t="shared" si="20"/>
        <v>0.41742833333333335</v>
      </c>
      <c r="P67" s="153">
        <f t="shared" si="20"/>
        <v>0.85929666666666682</v>
      </c>
      <c r="Q67" s="153">
        <f t="shared" si="20"/>
        <v>0.34177714285714289</v>
      </c>
      <c r="R67" s="33">
        <f t="shared" si="20"/>
        <v>0.38619999999999999</v>
      </c>
      <c r="S67" s="153">
        <f t="shared" si="20"/>
        <v>1.0779999999999998</v>
      </c>
      <c r="T67" s="33">
        <f t="shared" si="20"/>
        <v>0.95055555555555549</v>
      </c>
      <c r="U67" s="38"/>
      <c r="V67" s="39"/>
      <c r="W67" s="39"/>
      <c r="X67" s="39"/>
    </row>
    <row r="68" spans="1:24" s="1" customFormat="1" ht="11.25" customHeight="1">
      <c r="A68" s="41"/>
      <c r="B68" s="41"/>
      <c r="C68" s="125"/>
      <c r="D68" s="125"/>
      <c r="E68" s="125"/>
      <c r="F68" s="59"/>
      <c r="G68" s="144"/>
      <c r="H68" s="2"/>
      <c r="I68" s="2"/>
      <c r="J68" s="144"/>
      <c r="K68" s="144"/>
      <c r="L68" s="144"/>
      <c r="M68" s="218" t="s">
        <v>59</v>
      </c>
      <c r="N68" s="218"/>
      <c r="O68" s="218"/>
      <c r="P68" s="218"/>
      <c r="Q68" s="218"/>
      <c r="R68" s="218"/>
      <c r="S68" s="218"/>
      <c r="T68" s="218"/>
      <c r="U68" s="10"/>
      <c r="V68" s="17"/>
      <c r="W68" s="17"/>
      <c r="X68" s="17"/>
    </row>
    <row r="69" spans="1:24" s="1" customFormat="1" ht="11.25" customHeight="1">
      <c r="A69" s="41"/>
      <c r="B69" s="41"/>
      <c r="C69" s="125"/>
      <c r="D69" s="125"/>
      <c r="E69" s="125"/>
      <c r="F69" s="59"/>
      <c r="G69" s="144"/>
      <c r="H69" s="2"/>
      <c r="I69" s="2"/>
      <c r="J69" s="144"/>
      <c r="K69" s="144"/>
      <c r="L69" s="144"/>
      <c r="M69" s="128"/>
      <c r="N69" s="128"/>
      <c r="O69" s="128"/>
      <c r="P69" s="128"/>
      <c r="Q69" s="128"/>
      <c r="R69" s="128"/>
      <c r="S69" s="128"/>
      <c r="T69" s="128"/>
      <c r="U69" s="10"/>
      <c r="V69" s="17"/>
      <c r="W69" s="17"/>
      <c r="X69" s="17"/>
    </row>
    <row r="70" spans="1:24" s="1" customFormat="1" ht="11.25" customHeight="1">
      <c r="A70" s="235" t="s">
        <v>32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11"/>
      <c r="V70" s="23"/>
      <c r="W70" s="23"/>
      <c r="X70" s="23"/>
    </row>
    <row r="71" spans="1:24" s="1" customFormat="1" ht="11.25" customHeight="1">
      <c r="A71" s="43" t="s">
        <v>51</v>
      </c>
      <c r="B71" s="41"/>
      <c r="C71" s="41"/>
      <c r="D71" s="2"/>
      <c r="E71" s="2"/>
      <c r="F71" s="140"/>
      <c r="G71" s="238" t="s">
        <v>33</v>
      </c>
      <c r="H71" s="238"/>
      <c r="I71" s="238"/>
      <c r="J71" s="144"/>
      <c r="K71" s="144"/>
      <c r="L71" s="219" t="s">
        <v>1</v>
      </c>
      <c r="M71" s="219"/>
      <c r="N71" s="248"/>
      <c r="O71" s="248"/>
      <c r="P71" s="248"/>
      <c r="Q71" s="248"/>
      <c r="R71" s="144"/>
      <c r="S71" s="144"/>
      <c r="T71" s="144"/>
      <c r="U71" s="12"/>
      <c r="V71" s="18"/>
      <c r="W71" s="18"/>
      <c r="X71" s="18"/>
    </row>
    <row r="72" spans="1:24" s="1" customFormat="1" ht="11.25" customHeight="1">
      <c r="A72" s="41"/>
      <c r="B72" s="41"/>
      <c r="C72" s="41"/>
      <c r="D72" s="232" t="s">
        <v>2</v>
      </c>
      <c r="E72" s="232"/>
      <c r="F72" s="232"/>
      <c r="G72" s="5">
        <v>1</v>
      </c>
      <c r="H72" s="144"/>
      <c r="I72" s="2"/>
      <c r="J72" s="2"/>
      <c r="K72" s="2"/>
      <c r="L72" s="232" t="s">
        <v>3</v>
      </c>
      <c r="M72" s="232"/>
      <c r="N72" s="238" t="str">
        <f>N39</f>
        <v>7-11 лет;12 и старше</v>
      </c>
      <c r="O72" s="238"/>
      <c r="P72" s="238"/>
      <c r="Q72" s="238"/>
      <c r="R72" s="238"/>
      <c r="S72" s="238"/>
      <c r="T72" s="238"/>
      <c r="U72" s="13"/>
      <c r="V72" s="19"/>
      <c r="W72" s="19"/>
      <c r="X72" s="19"/>
    </row>
    <row r="73" spans="1:24" s="1" customFormat="1" ht="21.75" customHeight="1">
      <c r="A73" s="246" t="s">
        <v>4</v>
      </c>
      <c r="B73" s="246" t="s">
        <v>5</v>
      </c>
      <c r="C73" s="246"/>
      <c r="D73" s="246" t="s">
        <v>6</v>
      </c>
      <c r="E73" s="122"/>
      <c r="F73" s="254" t="s">
        <v>7</v>
      </c>
      <c r="G73" s="254"/>
      <c r="H73" s="254"/>
      <c r="I73" s="246" t="s">
        <v>8</v>
      </c>
      <c r="J73" s="254" t="s">
        <v>9</v>
      </c>
      <c r="K73" s="254"/>
      <c r="L73" s="254"/>
      <c r="M73" s="254"/>
      <c r="N73" s="254"/>
      <c r="O73" s="254" t="s">
        <v>10</v>
      </c>
      <c r="P73" s="254"/>
      <c r="Q73" s="254"/>
      <c r="R73" s="254"/>
      <c r="S73" s="254"/>
      <c r="T73" s="254"/>
      <c r="U73" s="7"/>
      <c r="V73" s="20"/>
      <c r="W73" s="20"/>
      <c r="X73" s="20"/>
    </row>
    <row r="74" spans="1:24" s="1" customFormat="1" ht="21" customHeight="1">
      <c r="A74" s="247"/>
      <c r="B74" s="241"/>
      <c r="C74" s="242"/>
      <c r="D74" s="247"/>
      <c r="E74" s="123"/>
      <c r="F74" s="57" t="s">
        <v>11</v>
      </c>
      <c r="G74" s="129" t="s">
        <v>12</v>
      </c>
      <c r="H74" s="129" t="s">
        <v>13</v>
      </c>
      <c r="I74" s="247"/>
      <c r="J74" s="129" t="s">
        <v>14</v>
      </c>
      <c r="K74" s="129" t="s">
        <v>52</v>
      </c>
      <c r="L74" s="129" t="s">
        <v>15</v>
      </c>
      <c r="M74" s="129" t="s">
        <v>16</v>
      </c>
      <c r="N74" s="129" t="s">
        <v>17</v>
      </c>
      <c r="O74" s="129" t="s">
        <v>18</v>
      </c>
      <c r="P74" s="129" t="s">
        <v>19</v>
      </c>
      <c r="Q74" s="129" t="s">
        <v>53</v>
      </c>
      <c r="R74" s="129" t="s">
        <v>54</v>
      </c>
      <c r="S74" s="129" t="s">
        <v>20</v>
      </c>
      <c r="T74" s="129" t="s">
        <v>21</v>
      </c>
      <c r="U74" s="7"/>
      <c r="V74" s="20"/>
      <c r="W74" s="20"/>
      <c r="X74" s="20"/>
    </row>
    <row r="75" spans="1:24" s="1" customFormat="1" ht="11.25" customHeight="1">
      <c r="A75" s="172">
        <v>1</v>
      </c>
      <c r="B75" s="255">
        <v>2</v>
      </c>
      <c r="C75" s="255"/>
      <c r="D75" s="28">
        <v>3</v>
      </c>
      <c r="E75" s="28"/>
      <c r="F75" s="58">
        <v>4</v>
      </c>
      <c r="G75" s="28">
        <v>5</v>
      </c>
      <c r="H75" s="28">
        <v>6</v>
      </c>
      <c r="I75" s="28">
        <v>7</v>
      </c>
      <c r="J75" s="28">
        <v>8</v>
      </c>
      <c r="K75" s="28">
        <v>9</v>
      </c>
      <c r="L75" s="28">
        <v>10</v>
      </c>
      <c r="M75" s="28">
        <v>11</v>
      </c>
      <c r="N75" s="28">
        <v>12</v>
      </c>
      <c r="O75" s="28">
        <v>13</v>
      </c>
      <c r="P75" s="28">
        <v>14</v>
      </c>
      <c r="Q75" s="28">
        <v>15</v>
      </c>
      <c r="R75" s="28">
        <v>16</v>
      </c>
      <c r="S75" s="28">
        <v>17</v>
      </c>
      <c r="T75" s="28">
        <v>18</v>
      </c>
      <c r="U75" s="8"/>
      <c r="V75" s="21"/>
      <c r="W75" s="21"/>
      <c r="X75" s="21"/>
    </row>
    <row r="76" spans="1:24" s="1" customFormat="1" ht="11.25" customHeight="1">
      <c r="A76" s="215" t="s">
        <v>111</v>
      </c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7"/>
      <c r="U76" s="9"/>
      <c r="V76" s="22"/>
      <c r="W76" s="22"/>
      <c r="X76" s="22"/>
    </row>
    <row r="77" spans="1:24" s="130" customFormat="1" ht="20.25" customHeight="1">
      <c r="A77" s="159">
        <v>71</v>
      </c>
      <c r="B77" s="201" t="s">
        <v>98</v>
      </c>
      <c r="C77" s="202"/>
      <c r="D77" s="168">
        <v>60</v>
      </c>
      <c r="E77" s="168">
        <v>15</v>
      </c>
      <c r="F77" s="176">
        <f>0.5*D77/60</f>
        <v>0.5</v>
      </c>
      <c r="G77" s="176">
        <f>0.03*D77/30</f>
        <v>5.9999999999999991E-2</v>
      </c>
      <c r="H77" s="176">
        <f>1.7*D77/60</f>
        <v>1.7</v>
      </c>
      <c r="I77" s="176">
        <f>F77*4+G77*9+H77*4</f>
        <v>9.34</v>
      </c>
      <c r="J77" s="169">
        <v>8.9999999999999993E-3</v>
      </c>
      <c r="K77" s="176">
        <v>0.01</v>
      </c>
      <c r="L77" s="170">
        <v>3</v>
      </c>
      <c r="M77" s="169">
        <v>3.0000000000000001E-3</v>
      </c>
      <c r="N77" s="168">
        <v>0.03</v>
      </c>
      <c r="O77" s="176">
        <v>6.9</v>
      </c>
      <c r="P77" s="176">
        <v>12.6</v>
      </c>
      <c r="Q77" s="169">
        <v>6.4000000000000001E-2</v>
      </c>
      <c r="R77" s="169">
        <v>1E-3</v>
      </c>
      <c r="S77" s="176">
        <v>4.2</v>
      </c>
      <c r="T77" s="176">
        <v>0.18</v>
      </c>
      <c r="U77" s="133"/>
      <c r="V77" s="134"/>
      <c r="W77" s="134"/>
      <c r="X77" s="134"/>
    </row>
    <row r="78" spans="1:24" s="130" customFormat="1">
      <c r="A78" s="90" t="s">
        <v>60</v>
      </c>
      <c r="B78" s="213" t="s">
        <v>88</v>
      </c>
      <c r="C78" s="214"/>
      <c r="D78" s="90">
        <v>20</v>
      </c>
      <c r="E78" s="91">
        <v>8.27</v>
      </c>
      <c r="F78" s="91">
        <v>0.65</v>
      </c>
      <c r="G78" s="92">
        <v>3.8</v>
      </c>
      <c r="H78" s="93">
        <v>17.600000000000001</v>
      </c>
      <c r="I78" s="91">
        <v>38</v>
      </c>
      <c r="J78" s="91">
        <v>2.5999999999999999E-2</v>
      </c>
      <c r="K78" s="91">
        <v>0.03</v>
      </c>
      <c r="L78" s="91">
        <v>0.13</v>
      </c>
      <c r="M78" s="91">
        <v>11.96</v>
      </c>
      <c r="N78" s="92">
        <v>0.39</v>
      </c>
      <c r="O78" s="91">
        <v>24.18</v>
      </c>
      <c r="P78" s="91">
        <v>49.4</v>
      </c>
      <c r="Q78" s="94">
        <v>0.2</v>
      </c>
      <c r="R78" s="91">
        <v>2E-3</v>
      </c>
      <c r="S78" s="91">
        <v>18.72</v>
      </c>
      <c r="T78" s="91">
        <v>0.182</v>
      </c>
      <c r="U78"/>
      <c r="V78"/>
      <c r="W78"/>
      <c r="X78"/>
    </row>
    <row r="79" spans="1:24" s="130" customFormat="1" ht="12" customHeight="1">
      <c r="A79" s="172">
        <v>291</v>
      </c>
      <c r="B79" s="201" t="s">
        <v>47</v>
      </c>
      <c r="C79" s="202"/>
      <c r="D79" s="162">
        <v>210</v>
      </c>
      <c r="E79" s="163">
        <v>43.4</v>
      </c>
      <c r="F79" s="163">
        <v>19.559999999999999</v>
      </c>
      <c r="G79" s="163">
        <v>22.86</v>
      </c>
      <c r="H79" s="163">
        <v>41.32</v>
      </c>
      <c r="I79" s="163">
        <v>449.37</v>
      </c>
      <c r="J79" s="163">
        <v>0.71</v>
      </c>
      <c r="K79" s="163">
        <v>0.69</v>
      </c>
      <c r="L79" s="163">
        <v>3.7589999999999999</v>
      </c>
      <c r="M79" s="163">
        <v>0.4</v>
      </c>
      <c r="N79" s="160">
        <v>0</v>
      </c>
      <c r="O79" s="163">
        <v>38.75</v>
      </c>
      <c r="P79" s="163">
        <v>263.94</v>
      </c>
      <c r="Q79" s="162">
        <v>0</v>
      </c>
      <c r="R79" s="162">
        <v>0</v>
      </c>
      <c r="S79" s="163">
        <v>56.34</v>
      </c>
      <c r="T79" s="163">
        <v>2.42</v>
      </c>
      <c r="U79" s="135"/>
      <c r="V79" s="136"/>
      <c r="W79" s="136"/>
      <c r="X79" s="136"/>
    </row>
    <row r="80" spans="1:24" s="130" customFormat="1" ht="12.75" customHeight="1">
      <c r="A80" s="172">
        <v>377</v>
      </c>
      <c r="B80" s="203" t="s">
        <v>43</v>
      </c>
      <c r="C80" s="203"/>
      <c r="D80" s="162">
        <v>200</v>
      </c>
      <c r="E80" s="163">
        <v>3.81</v>
      </c>
      <c r="F80" s="163">
        <v>0.26</v>
      </c>
      <c r="G80" s="163">
        <v>0.06</v>
      </c>
      <c r="H80" s="163">
        <v>15.22</v>
      </c>
      <c r="I80" s="163">
        <f>F80*4+G80*9+H80*4</f>
        <v>62.46</v>
      </c>
      <c r="J80" s="163"/>
      <c r="K80" s="163">
        <v>0.01</v>
      </c>
      <c r="L80" s="163">
        <v>2.9</v>
      </c>
      <c r="M80" s="160">
        <v>0</v>
      </c>
      <c r="N80" s="163">
        <v>0.06</v>
      </c>
      <c r="O80" s="163">
        <v>8.0500000000000007</v>
      </c>
      <c r="P80" s="163">
        <v>9.7799999999999994</v>
      </c>
      <c r="Q80" s="163">
        <v>1.7000000000000001E-2</v>
      </c>
      <c r="R80" s="164">
        <v>0</v>
      </c>
      <c r="S80" s="163">
        <v>5.24</v>
      </c>
      <c r="T80" s="163">
        <v>0.87</v>
      </c>
      <c r="U80" s="135"/>
      <c r="V80" s="221"/>
      <c r="W80" s="221"/>
      <c r="X80" s="221"/>
    </row>
    <row r="81" spans="1:25" s="130" customFormat="1" ht="12.75" customHeight="1">
      <c r="A81" s="167" t="s">
        <v>60</v>
      </c>
      <c r="B81" s="201" t="s">
        <v>49</v>
      </c>
      <c r="C81" s="202"/>
      <c r="D81" s="162">
        <v>30</v>
      </c>
      <c r="E81" s="163">
        <v>2.52</v>
      </c>
      <c r="F81" s="163">
        <f>1.52*D81/30</f>
        <v>1.52</v>
      </c>
      <c r="G81" s="164">
        <f>0.16*D81/30</f>
        <v>0.16</v>
      </c>
      <c r="H81" s="164">
        <f>9.84*D81/30</f>
        <v>9.84</v>
      </c>
      <c r="I81" s="164">
        <f>F81*4+G81*9+H81*4</f>
        <v>46.879999999999995</v>
      </c>
      <c r="J81" s="164">
        <f>0.02*D81/30</f>
        <v>0.02</v>
      </c>
      <c r="K81" s="164">
        <f>0.01*D81/30</f>
        <v>0.01</v>
      </c>
      <c r="L81" s="164">
        <f>0.44*D81/30</f>
        <v>0.44</v>
      </c>
      <c r="M81" s="164">
        <v>0</v>
      </c>
      <c r="N81" s="164">
        <f>0.7*D81/30</f>
        <v>0.7</v>
      </c>
      <c r="O81" s="164">
        <f>4*D81/30</f>
        <v>4</v>
      </c>
      <c r="P81" s="164">
        <f>13*D81/30</f>
        <v>13</v>
      </c>
      <c r="Q81" s="164">
        <f>0.008*D81/30</f>
        <v>8.0000000000000002E-3</v>
      </c>
      <c r="R81" s="164">
        <f>0.001*D81/30</f>
        <v>1E-3</v>
      </c>
      <c r="S81" s="164">
        <v>0</v>
      </c>
      <c r="T81" s="164">
        <f>0.22*D81/30</f>
        <v>0.22</v>
      </c>
      <c r="U81" s="135"/>
      <c r="V81" s="221"/>
      <c r="W81" s="221"/>
      <c r="X81" s="221"/>
    </row>
    <row r="82" spans="1:25" s="73" customFormat="1" ht="12" customHeight="1">
      <c r="A82" s="156" t="s">
        <v>23</v>
      </c>
      <c r="B82" s="157"/>
      <c r="C82" s="157"/>
      <c r="D82" s="45">
        <f t="shared" ref="D82:T82" si="21">SUM(D77:D81)</f>
        <v>520</v>
      </c>
      <c r="E82" s="175">
        <f t="shared" si="21"/>
        <v>73</v>
      </c>
      <c r="F82" s="150">
        <f t="shared" si="21"/>
        <v>22.49</v>
      </c>
      <c r="G82" s="149">
        <f t="shared" si="21"/>
        <v>26.939999999999998</v>
      </c>
      <c r="H82" s="149">
        <f t="shared" si="21"/>
        <v>85.68</v>
      </c>
      <c r="I82" s="149">
        <f t="shared" si="21"/>
        <v>606.05000000000007</v>
      </c>
      <c r="J82" s="150">
        <f t="shared" si="21"/>
        <v>0.76500000000000001</v>
      </c>
      <c r="K82" s="150">
        <f t="shared" si="21"/>
        <v>0.75</v>
      </c>
      <c r="L82" s="150">
        <f t="shared" si="21"/>
        <v>10.228999999999999</v>
      </c>
      <c r="M82" s="150">
        <f t="shared" si="21"/>
        <v>12.363000000000001</v>
      </c>
      <c r="N82" s="150">
        <f t="shared" si="21"/>
        <v>1.18</v>
      </c>
      <c r="O82" s="150">
        <f t="shared" si="21"/>
        <v>81.88</v>
      </c>
      <c r="P82" s="150">
        <f t="shared" si="21"/>
        <v>348.71999999999997</v>
      </c>
      <c r="Q82" s="151">
        <f t="shared" si="21"/>
        <v>0.28900000000000003</v>
      </c>
      <c r="R82" s="151">
        <f t="shared" si="21"/>
        <v>4.0000000000000001E-3</v>
      </c>
      <c r="S82" s="149">
        <f t="shared" si="21"/>
        <v>84.5</v>
      </c>
      <c r="T82" s="150">
        <f t="shared" si="21"/>
        <v>3.8720000000000003</v>
      </c>
      <c r="U82" s="29"/>
      <c r="V82" s="75"/>
      <c r="W82" s="75"/>
      <c r="X82" s="75"/>
    </row>
    <row r="83" spans="1:25" s="73" customFormat="1" ht="12" customHeight="1">
      <c r="A83" s="207" t="s">
        <v>57</v>
      </c>
      <c r="B83" s="208"/>
      <c r="C83" s="208"/>
      <c r="D83" s="209"/>
      <c r="E83" s="66"/>
      <c r="F83" s="96">
        <f t="shared" ref="F83:T83" si="22">F82/F101</f>
        <v>0.24988888888888888</v>
      </c>
      <c r="G83" s="64">
        <f t="shared" si="22"/>
        <v>0.29282608695652174</v>
      </c>
      <c r="H83" s="64">
        <f t="shared" si="22"/>
        <v>0.22370757180156658</v>
      </c>
      <c r="I83" s="64">
        <f t="shared" si="22"/>
        <v>0.22281250000000002</v>
      </c>
      <c r="J83" s="64">
        <f t="shared" si="22"/>
        <v>0.54642857142857149</v>
      </c>
      <c r="K83" s="64">
        <f t="shared" si="22"/>
        <v>0.46875</v>
      </c>
      <c r="L83" s="64">
        <f t="shared" si="22"/>
        <v>0.14612857142857141</v>
      </c>
      <c r="M83" s="64">
        <f t="shared" si="22"/>
        <v>13.736666666666668</v>
      </c>
      <c r="N83" s="64">
        <f t="shared" si="22"/>
        <v>9.8333333333333328E-2</v>
      </c>
      <c r="O83" s="64">
        <f t="shared" si="22"/>
        <v>6.8233333333333326E-2</v>
      </c>
      <c r="P83" s="64">
        <f t="shared" si="22"/>
        <v>0.29059999999999997</v>
      </c>
      <c r="Q83" s="64">
        <f t="shared" si="22"/>
        <v>2.0642857142857147E-2</v>
      </c>
      <c r="R83" s="64">
        <f t="shared" si="22"/>
        <v>0.04</v>
      </c>
      <c r="S83" s="64">
        <f t="shared" si="22"/>
        <v>0.28166666666666668</v>
      </c>
      <c r="T83" s="64">
        <f t="shared" si="22"/>
        <v>0.21511111111111114</v>
      </c>
      <c r="U83" s="76"/>
      <c r="V83" s="75"/>
      <c r="W83" s="75"/>
      <c r="X83" s="75"/>
    </row>
    <row r="84" spans="1:25" s="73" customFormat="1" ht="12" hidden="1" customHeight="1">
      <c r="A84" s="103" t="s">
        <v>65</v>
      </c>
      <c r="B84" s="95"/>
      <c r="C84" s="95"/>
      <c r="D84" s="126"/>
      <c r="E84" s="126"/>
      <c r="F84" s="105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76"/>
      <c r="V84" s="75"/>
      <c r="W84" s="75"/>
      <c r="X84" s="75"/>
    </row>
    <row r="85" spans="1:25" s="73" customFormat="1" ht="10.5" customHeight="1">
      <c r="A85" s="215" t="s">
        <v>26</v>
      </c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7"/>
      <c r="U85" s="9"/>
      <c r="V85" s="22"/>
      <c r="W85" s="22"/>
      <c r="X85" s="22"/>
    </row>
    <row r="86" spans="1:25" s="100" customFormat="1" ht="20.25" customHeight="1">
      <c r="A86" s="159">
        <v>71</v>
      </c>
      <c r="B86" s="201" t="s">
        <v>103</v>
      </c>
      <c r="C86" s="202"/>
      <c r="D86" s="168">
        <v>50</v>
      </c>
      <c r="E86" s="168">
        <v>11.92</v>
      </c>
      <c r="F86" s="176">
        <f>0.5*D86/60</f>
        <v>0.41666666666666669</v>
      </c>
      <c r="G86" s="176">
        <f>0.03*D86/30</f>
        <v>0.05</v>
      </c>
      <c r="H86" s="176">
        <f>1.7*D86/60</f>
        <v>1.4166666666666667</v>
      </c>
      <c r="I86" s="176">
        <f>F86*4+G86*9+H86*4</f>
        <v>7.7833333333333332</v>
      </c>
      <c r="J86" s="169">
        <v>8.9999999999999993E-3</v>
      </c>
      <c r="K86" s="176">
        <v>0.01</v>
      </c>
      <c r="L86" s="170">
        <v>3</v>
      </c>
      <c r="M86" s="169">
        <v>3.0000000000000001E-3</v>
      </c>
      <c r="N86" s="168">
        <v>0.03</v>
      </c>
      <c r="O86" s="176">
        <v>6.9</v>
      </c>
      <c r="P86" s="176">
        <v>12.6</v>
      </c>
      <c r="Q86" s="169">
        <v>6.4000000000000001E-2</v>
      </c>
      <c r="R86" s="169">
        <v>1E-3</v>
      </c>
      <c r="S86" s="176">
        <v>4.2</v>
      </c>
      <c r="T86" s="176">
        <v>0.18</v>
      </c>
      <c r="U86" s="101"/>
      <c r="V86" s="102"/>
      <c r="W86" s="102"/>
      <c r="X86" s="102"/>
    </row>
    <row r="87" spans="1:25" s="73" customFormat="1" ht="22.5" customHeight="1">
      <c r="A87" s="167">
        <v>108</v>
      </c>
      <c r="B87" s="201" t="s">
        <v>85</v>
      </c>
      <c r="C87" s="202"/>
      <c r="D87" s="160">
        <v>250</v>
      </c>
      <c r="E87" s="163">
        <v>12.04</v>
      </c>
      <c r="F87" s="163">
        <v>3.15</v>
      </c>
      <c r="G87" s="164">
        <v>3.55</v>
      </c>
      <c r="H87" s="164">
        <v>20.837499999999999</v>
      </c>
      <c r="I87" s="163">
        <v>127.89999999999999</v>
      </c>
      <c r="J87" s="164">
        <v>8.7499999999999994E-2</v>
      </c>
      <c r="K87" s="164">
        <v>7.4999999999999997E-2</v>
      </c>
      <c r="L87" s="164">
        <v>11.3125</v>
      </c>
      <c r="M87" s="164">
        <v>0.59</v>
      </c>
      <c r="N87" s="164">
        <v>0.875</v>
      </c>
      <c r="O87" s="164">
        <v>25.737500000000001</v>
      </c>
      <c r="P87" s="164">
        <v>60.237499999999997</v>
      </c>
      <c r="Q87" s="164">
        <v>0.25</v>
      </c>
      <c r="R87" s="164">
        <v>1.25E-3</v>
      </c>
      <c r="S87" s="164">
        <v>18.2</v>
      </c>
      <c r="T87" s="164">
        <v>0.92500000000000004</v>
      </c>
      <c r="U87" s="98"/>
      <c r="V87" s="99"/>
      <c r="W87" s="99"/>
      <c r="X87" s="99"/>
      <c r="Y87" s="97"/>
    </row>
    <row r="88" spans="1:25" s="180" customFormat="1" ht="24.75" customHeight="1">
      <c r="A88" s="159">
        <v>268</v>
      </c>
      <c r="B88" s="201" t="s">
        <v>76</v>
      </c>
      <c r="C88" s="202"/>
      <c r="D88" s="168">
        <v>90</v>
      </c>
      <c r="E88" s="168">
        <v>51.06</v>
      </c>
      <c r="F88" s="176">
        <v>18.5</v>
      </c>
      <c r="G88" s="176">
        <v>25.862500000000001</v>
      </c>
      <c r="H88" s="176">
        <v>4.7625000000000002</v>
      </c>
      <c r="I88" s="176">
        <v>325.81250000000006</v>
      </c>
      <c r="J88" s="169">
        <v>0.22500000000000001</v>
      </c>
      <c r="K88" s="176">
        <v>0.15</v>
      </c>
      <c r="L88" s="176">
        <v>0.53749999999999998</v>
      </c>
      <c r="M88" s="169">
        <v>9.9000000000000005E-2</v>
      </c>
      <c r="N88" s="169">
        <v>1.2500000000000001E-2</v>
      </c>
      <c r="O88" s="176">
        <v>60.5625</v>
      </c>
      <c r="P88" s="176">
        <v>222.375</v>
      </c>
      <c r="Q88" s="169">
        <v>2.8499999999999996</v>
      </c>
      <c r="R88" s="169">
        <v>0.05</v>
      </c>
      <c r="S88" s="176">
        <v>30.5625</v>
      </c>
      <c r="T88" s="176">
        <v>2.4125000000000001</v>
      </c>
      <c r="U88" s="182"/>
      <c r="V88" s="183"/>
      <c r="W88" s="183"/>
      <c r="X88" s="183"/>
    </row>
    <row r="89" spans="1:25" s="180" customFormat="1" ht="12" customHeight="1">
      <c r="A89" s="172">
        <v>203</v>
      </c>
      <c r="B89" s="201" t="s">
        <v>68</v>
      </c>
      <c r="C89" s="202"/>
      <c r="D89" s="162">
        <v>180</v>
      </c>
      <c r="E89" s="163">
        <v>8.77</v>
      </c>
      <c r="F89" s="163">
        <v>6.84</v>
      </c>
      <c r="G89" s="163">
        <v>4.1159999999999997</v>
      </c>
      <c r="H89" s="163">
        <v>43.740000000000009</v>
      </c>
      <c r="I89" s="163">
        <v>239.36400000000003</v>
      </c>
      <c r="J89" s="163">
        <v>0.108</v>
      </c>
      <c r="K89" s="163">
        <v>3.5999999999999997E-2</v>
      </c>
      <c r="L89" s="163">
        <v>0</v>
      </c>
      <c r="M89" s="164">
        <v>3.5999999999999997E-2</v>
      </c>
      <c r="N89" s="163">
        <v>1.5</v>
      </c>
      <c r="O89" s="163">
        <v>15.936</v>
      </c>
      <c r="P89" s="163">
        <v>55.451999999999998</v>
      </c>
      <c r="Q89" s="163">
        <v>0.93600000000000005</v>
      </c>
      <c r="R89" s="164">
        <v>1.8000000000000002E-3</v>
      </c>
      <c r="S89" s="163">
        <v>10.164000000000001</v>
      </c>
      <c r="T89" s="163">
        <v>1.032</v>
      </c>
      <c r="U89" s="178"/>
      <c r="V89" s="179"/>
      <c r="W89" s="179"/>
      <c r="X89" s="179"/>
    </row>
    <row r="90" spans="1:25" s="180" customFormat="1" ht="12" customHeight="1">
      <c r="A90" s="167">
        <v>349</v>
      </c>
      <c r="B90" s="201" t="s">
        <v>78</v>
      </c>
      <c r="C90" s="202"/>
      <c r="D90" s="162">
        <v>200</v>
      </c>
      <c r="E90" s="163">
        <v>5.61</v>
      </c>
      <c r="F90" s="163">
        <v>0.22</v>
      </c>
      <c r="G90" s="160">
        <v>0</v>
      </c>
      <c r="H90" s="163">
        <v>24.42</v>
      </c>
      <c r="I90" s="163">
        <v>98.56</v>
      </c>
      <c r="J90" s="160">
        <v>0</v>
      </c>
      <c r="K90" s="160">
        <v>0</v>
      </c>
      <c r="L90" s="163">
        <v>26.11</v>
      </c>
      <c r="M90" s="160">
        <v>0</v>
      </c>
      <c r="N90" s="160">
        <v>0</v>
      </c>
      <c r="O90" s="161">
        <v>22.6</v>
      </c>
      <c r="P90" s="161">
        <v>7.7</v>
      </c>
      <c r="Q90" s="162">
        <v>0</v>
      </c>
      <c r="R90" s="162">
        <v>0</v>
      </c>
      <c r="S90" s="161">
        <v>3</v>
      </c>
      <c r="T90" s="163">
        <v>0.66</v>
      </c>
      <c r="U90" s="178"/>
      <c r="V90" s="179"/>
      <c r="W90" s="179"/>
      <c r="X90" s="179"/>
    </row>
    <row r="91" spans="1:25" s="180" customFormat="1" ht="11.25" customHeight="1">
      <c r="A91" s="52" t="s">
        <v>60</v>
      </c>
      <c r="B91" s="201" t="s">
        <v>44</v>
      </c>
      <c r="C91" s="202"/>
      <c r="D91" s="162">
        <v>40</v>
      </c>
      <c r="E91" s="163">
        <v>2.08</v>
      </c>
      <c r="F91" s="163">
        <f>2.64*D91/40</f>
        <v>2.64</v>
      </c>
      <c r="G91" s="163">
        <f>0.48*D91/40</f>
        <v>0.48</v>
      </c>
      <c r="H91" s="163">
        <f>13.68*D91/40</f>
        <v>13.680000000000001</v>
      </c>
      <c r="I91" s="161">
        <f>F91*4+G91*9+H91*4</f>
        <v>69.600000000000009</v>
      </c>
      <c r="J91" s="160">
        <f>0.08*D91/40</f>
        <v>0.08</v>
      </c>
      <c r="K91" s="163">
        <f>0.04*D91/40</f>
        <v>0.04</v>
      </c>
      <c r="L91" s="162">
        <v>0</v>
      </c>
      <c r="M91" s="162">
        <v>0</v>
      </c>
      <c r="N91" s="163">
        <f>2.4*D91/40</f>
        <v>2.4</v>
      </c>
      <c r="O91" s="163">
        <f>14*D91/40</f>
        <v>14</v>
      </c>
      <c r="P91" s="163">
        <f>63.2*D91/40</f>
        <v>63.2</v>
      </c>
      <c r="Q91" s="163">
        <f>1.2*D91/40</f>
        <v>1.2</v>
      </c>
      <c r="R91" s="164">
        <f>0.001*D91/40</f>
        <v>1E-3</v>
      </c>
      <c r="S91" s="163">
        <f>9.4*D91/40</f>
        <v>9.4</v>
      </c>
      <c r="T91" s="160">
        <f>0.78*D91/40</f>
        <v>0.78</v>
      </c>
      <c r="U91" s="188"/>
      <c r="V91" s="189"/>
      <c r="W91" s="189"/>
      <c r="X91" s="189"/>
    </row>
    <row r="92" spans="1:25" s="73" customFormat="1" ht="11.25" customHeight="1">
      <c r="A92" s="167" t="s">
        <v>60</v>
      </c>
      <c r="B92" s="201" t="s">
        <v>49</v>
      </c>
      <c r="C92" s="202"/>
      <c r="D92" s="162">
        <v>30</v>
      </c>
      <c r="E92" s="163">
        <v>2.52</v>
      </c>
      <c r="F92" s="163">
        <f>1.52*D92/30</f>
        <v>1.52</v>
      </c>
      <c r="G92" s="164">
        <f>0.16*D92/30</f>
        <v>0.16</v>
      </c>
      <c r="H92" s="164">
        <f>9.84*D92/30</f>
        <v>9.84</v>
      </c>
      <c r="I92" s="164">
        <f>F92*4+G92*9+H92*4</f>
        <v>46.879999999999995</v>
      </c>
      <c r="J92" s="164">
        <f>0.02*D92/30</f>
        <v>0.02</v>
      </c>
      <c r="K92" s="164">
        <f>0.01*D92/30</f>
        <v>0.01</v>
      </c>
      <c r="L92" s="164">
        <f>0.44*D92/30</f>
        <v>0.44</v>
      </c>
      <c r="M92" s="164">
        <v>0</v>
      </c>
      <c r="N92" s="164">
        <f>0.7*D92/30</f>
        <v>0.7</v>
      </c>
      <c r="O92" s="164">
        <f>4*D92/30</f>
        <v>4</v>
      </c>
      <c r="P92" s="164">
        <f>13*D92/30</f>
        <v>13</v>
      </c>
      <c r="Q92" s="164">
        <f>0.008*D92/30</f>
        <v>8.0000000000000002E-3</v>
      </c>
      <c r="R92" s="164">
        <f>0.001*D92/30</f>
        <v>1E-3</v>
      </c>
      <c r="S92" s="164">
        <v>0</v>
      </c>
      <c r="T92" s="164">
        <f>0.22*D92/30</f>
        <v>0.22</v>
      </c>
      <c r="U92" s="77"/>
      <c r="V92" s="78"/>
      <c r="W92" s="78"/>
      <c r="X92" s="78"/>
    </row>
    <row r="93" spans="1:25" s="73" customFormat="1" ht="11.25" customHeight="1">
      <c r="A93" s="156" t="s">
        <v>27</v>
      </c>
      <c r="B93" s="157"/>
      <c r="C93" s="157"/>
      <c r="D93" s="158">
        <f t="shared" ref="D93:T93" si="23">SUM(D86:D92)</f>
        <v>840</v>
      </c>
      <c r="E93" s="175">
        <f t="shared" si="23"/>
        <v>94</v>
      </c>
      <c r="F93" s="150">
        <f t="shared" si="23"/>
        <v>33.286666666666669</v>
      </c>
      <c r="G93" s="150">
        <f t="shared" si="23"/>
        <v>34.218499999999992</v>
      </c>
      <c r="H93" s="150">
        <f t="shared" si="23"/>
        <v>118.69666666666669</v>
      </c>
      <c r="I93" s="150">
        <f t="shared" si="23"/>
        <v>915.89983333333339</v>
      </c>
      <c r="J93" s="150">
        <f t="shared" si="23"/>
        <v>0.52949999999999997</v>
      </c>
      <c r="K93" s="150">
        <f t="shared" si="23"/>
        <v>0.32099999999999995</v>
      </c>
      <c r="L93" s="150">
        <f t="shared" si="23"/>
        <v>41.4</v>
      </c>
      <c r="M93" s="150">
        <f t="shared" si="23"/>
        <v>0.72799999999999998</v>
      </c>
      <c r="N93" s="150">
        <f t="shared" si="23"/>
        <v>5.5175000000000001</v>
      </c>
      <c r="O93" s="150">
        <f t="shared" si="23"/>
        <v>149.73599999999999</v>
      </c>
      <c r="P93" s="150">
        <f t="shared" si="23"/>
        <v>434.56449999999995</v>
      </c>
      <c r="Q93" s="150">
        <f t="shared" si="23"/>
        <v>5.3079999999999998</v>
      </c>
      <c r="R93" s="150">
        <f t="shared" si="23"/>
        <v>5.605000000000001E-2</v>
      </c>
      <c r="S93" s="150">
        <f t="shared" si="23"/>
        <v>75.526499999999999</v>
      </c>
      <c r="T93" s="150">
        <f t="shared" si="23"/>
        <v>6.2095000000000002</v>
      </c>
      <c r="U93" s="29"/>
      <c r="V93" s="75"/>
      <c r="W93" s="75"/>
      <c r="X93" s="75"/>
    </row>
    <row r="94" spans="1:25" s="73" customFormat="1" ht="11.25" customHeight="1">
      <c r="A94" s="207" t="s">
        <v>57</v>
      </c>
      <c r="B94" s="208"/>
      <c r="C94" s="208"/>
      <c r="D94" s="209"/>
      <c r="E94" s="66"/>
      <c r="F94" s="96">
        <f t="shared" ref="F94:T94" si="24">F93/F101</f>
        <v>0.36985185185185188</v>
      </c>
      <c r="G94" s="104">
        <f t="shared" si="24"/>
        <v>0.37194021739130428</v>
      </c>
      <c r="H94" s="104">
        <f t="shared" si="24"/>
        <v>0.30991296779808536</v>
      </c>
      <c r="I94" s="104">
        <f t="shared" si="24"/>
        <v>0.33672787990196079</v>
      </c>
      <c r="J94" s="104">
        <f t="shared" si="24"/>
        <v>0.37821428571428573</v>
      </c>
      <c r="K94" s="104">
        <f t="shared" si="24"/>
        <v>0.20062499999999997</v>
      </c>
      <c r="L94" s="104">
        <f t="shared" si="24"/>
        <v>0.59142857142857141</v>
      </c>
      <c r="M94" s="104">
        <f t="shared" si="24"/>
        <v>0.80888888888888888</v>
      </c>
      <c r="N94" s="104">
        <f t="shared" si="24"/>
        <v>0.45979166666666665</v>
      </c>
      <c r="O94" s="104">
        <f t="shared" si="24"/>
        <v>0.12477999999999999</v>
      </c>
      <c r="P94" s="104">
        <f t="shared" si="24"/>
        <v>0.36213708333333328</v>
      </c>
      <c r="Q94" s="104">
        <f t="shared" si="24"/>
        <v>0.37914285714285711</v>
      </c>
      <c r="R94" s="104">
        <f t="shared" si="24"/>
        <v>0.56050000000000011</v>
      </c>
      <c r="S94" s="104">
        <f t="shared" si="24"/>
        <v>0.25175500000000001</v>
      </c>
      <c r="T94" s="104">
        <f t="shared" si="24"/>
        <v>0.34497222222222224</v>
      </c>
      <c r="U94" s="76"/>
      <c r="V94" s="75"/>
      <c r="W94" s="75"/>
      <c r="X94" s="75"/>
    </row>
    <row r="95" spans="1:25" s="73" customFormat="1" ht="11.25" customHeight="1">
      <c r="A95" s="215" t="s">
        <v>28</v>
      </c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7"/>
      <c r="U95" s="9"/>
      <c r="V95" s="22"/>
      <c r="W95" s="22"/>
      <c r="X95" s="22"/>
    </row>
    <row r="96" spans="1:25" s="68" customFormat="1" ht="12" customHeight="1">
      <c r="A96" s="194"/>
      <c r="B96" s="231"/>
      <c r="C96" s="231"/>
      <c r="D96" s="191"/>
      <c r="E96" s="192"/>
      <c r="F96" s="192"/>
      <c r="G96" s="197"/>
      <c r="H96" s="197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</row>
    <row r="97" spans="1:24" s="73" customFormat="1" ht="21.75" customHeight="1">
      <c r="A97" s="167"/>
      <c r="B97" s="201"/>
      <c r="C97" s="202"/>
      <c r="D97" s="162"/>
      <c r="E97" s="163"/>
      <c r="F97" s="163"/>
      <c r="G97" s="160"/>
      <c r="H97" s="163"/>
      <c r="I97" s="163"/>
      <c r="J97" s="160"/>
      <c r="K97" s="160"/>
      <c r="L97" s="163"/>
      <c r="M97" s="160"/>
      <c r="N97" s="160"/>
      <c r="O97" s="161"/>
      <c r="P97" s="161"/>
      <c r="Q97" s="162"/>
      <c r="R97" s="162"/>
      <c r="S97" s="161"/>
      <c r="T97" s="163"/>
      <c r="U97" s="77"/>
      <c r="V97" s="78"/>
      <c r="W97" s="78"/>
      <c r="X97" s="78"/>
    </row>
    <row r="98" spans="1:24" s="1" customFormat="1" ht="11.25" customHeight="1">
      <c r="A98" s="156" t="s">
        <v>29</v>
      </c>
      <c r="B98" s="157"/>
      <c r="C98" s="157"/>
      <c r="D98" s="158">
        <f t="shared" ref="D98:T98" si="25">SUM(D96:D97)</f>
        <v>0</v>
      </c>
      <c r="E98" s="175">
        <f t="shared" si="25"/>
        <v>0</v>
      </c>
      <c r="F98" s="150">
        <f t="shared" si="25"/>
        <v>0</v>
      </c>
      <c r="G98" s="149">
        <f t="shared" si="25"/>
        <v>0</v>
      </c>
      <c r="H98" s="149">
        <f t="shared" si="25"/>
        <v>0</v>
      </c>
      <c r="I98" s="149">
        <f t="shared" si="25"/>
        <v>0</v>
      </c>
      <c r="J98" s="149">
        <f t="shared" si="25"/>
        <v>0</v>
      </c>
      <c r="K98" s="149">
        <f t="shared" si="25"/>
        <v>0</v>
      </c>
      <c r="L98" s="149">
        <f t="shared" si="25"/>
        <v>0</v>
      </c>
      <c r="M98" s="149">
        <f t="shared" si="25"/>
        <v>0</v>
      </c>
      <c r="N98" s="149">
        <f t="shared" si="25"/>
        <v>0</v>
      </c>
      <c r="O98" s="149">
        <f t="shared" si="25"/>
        <v>0</v>
      </c>
      <c r="P98" s="149">
        <f t="shared" si="25"/>
        <v>0</v>
      </c>
      <c r="Q98" s="149">
        <f t="shared" si="25"/>
        <v>0</v>
      </c>
      <c r="R98" s="149">
        <f t="shared" si="25"/>
        <v>0</v>
      </c>
      <c r="S98" s="149">
        <f t="shared" si="25"/>
        <v>0</v>
      </c>
      <c r="T98" s="149">
        <f t="shared" si="25"/>
        <v>0</v>
      </c>
      <c r="U98" s="29"/>
      <c r="V98" s="75"/>
      <c r="W98" s="75"/>
      <c r="X98" s="75"/>
    </row>
    <row r="99" spans="1:24" s="1" customFormat="1" ht="11.25" customHeight="1">
      <c r="A99" s="207" t="s">
        <v>57</v>
      </c>
      <c r="B99" s="208"/>
      <c r="C99" s="208"/>
      <c r="D99" s="209"/>
      <c r="E99" s="66"/>
      <c r="F99" s="96">
        <f>F98/F101</f>
        <v>0</v>
      </c>
      <c r="G99" s="65">
        <f t="shared" ref="G99:T99" si="26">G98/G101</f>
        <v>0</v>
      </c>
      <c r="H99" s="65">
        <f t="shared" si="26"/>
        <v>0</v>
      </c>
      <c r="I99" s="65">
        <f t="shared" si="26"/>
        <v>0</v>
      </c>
      <c r="J99" s="65">
        <f t="shared" si="26"/>
        <v>0</v>
      </c>
      <c r="K99" s="65">
        <f t="shared" si="26"/>
        <v>0</v>
      </c>
      <c r="L99" s="65">
        <f t="shared" si="26"/>
        <v>0</v>
      </c>
      <c r="M99" s="65">
        <f t="shared" si="26"/>
        <v>0</v>
      </c>
      <c r="N99" s="65">
        <f t="shared" si="26"/>
        <v>0</v>
      </c>
      <c r="O99" s="65">
        <f t="shared" si="26"/>
        <v>0</v>
      </c>
      <c r="P99" s="65">
        <f t="shared" si="26"/>
        <v>0</v>
      </c>
      <c r="Q99" s="65">
        <f t="shared" si="26"/>
        <v>0</v>
      </c>
      <c r="R99" s="65">
        <f t="shared" si="26"/>
        <v>0</v>
      </c>
      <c r="S99" s="65">
        <f t="shared" si="26"/>
        <v>0</v>
      </c>
      <c r="T99" s="65">
        <f t="shared" si="26"/>
        <v>0</v>
      </c>
      <c r="U99" s="44"/>
      <c r="V99" s="75"/>
      <c r="W99" s="75"/>
      <c r="X99" s="75"/>
    </row>
    <row r="100" spans="1:24" s="1" customFormat="1" ht="11.25" customHeight="1">
      <c r="A100" s="156" t="s">
        <v>56</v>
      </c>
      <c r="B100" s="157"/>
      <c r="C100" s="157"/>
      <c r="D100" s="61">
        <f>D93+D82</f>
        <v>1360</v>
      </c>
      <c r="E100" s="177">
        <f>E93+E82</f>
        <v>167</v>
      </c>
      <c r="F100" s="150">
        <f t="shared" ref="F100:T100" si="27">SUM(F82,F93,F98)</f>
        <v>55.776666666666671</v>
      </c>
      <c r="G100" s="149">
        <f t="shared" si="27"/>
        <v>61.158499999999989</v>
      </c>
      <c r="H100" s="149">
        <f t="shared" si="27"/>
        <v>204.37666666666669</v>
      </c>
      <c r="I100" s="149">
        <f t="shared" si="27"/>
        <v>1521.9498333333336</v>
      </c>
      <c r="J100" s="150">
        <f t="shared" si="27"/>
        <v>1.2945</v>
      </c>
      <c r="K100" s="150">
        <f t="shared" si="27"/>
        <v>1.071</v>
      </c>
      <c r="L100" s="155">
        <f t="shared" si="27"/>
        <v>51.628999999999998</v>
      </c>
      <c r="M100" s="150">
        <f t="shared" si="27"/>
        <v>13.091000000000001</v>
      </c>
      <c r="N100" s="155">
        <f t="shared" si="27"/>
        <v>6.6974999999999998</v>
      </c>
      <c r="O100" s="149">
        <f t="shared" si="27"/>
        <v>231.61599999999999</v>
      </c>
      <c r="P100" s="150">
        <f t="shared" si="27"/>
        <v>783.28449999999998</v>
      </c>
      <c r="Q100" s="149">
        <f t="shared" si="27"/>
        <v>5.5969999999999995</v>
      </c>
      <c r="R100" s="151">
        <f t="shared" si="27"/>
        <v>6.0050000000000006E-2</v>
      </c>
      <c r="S100" s="150">
        <f t="shared" si="27"/>
        <v>160.0265</v>
      </c>
      <c r="T100" s="150">
        <f t="shared" si="27"/>
        <v>10.0815</v>
      </c>
      <c r="U100" s="37"/>
      <c r="V100" s="74"/>
      <c r="W100" s="74"/>
      <c r="X100" s="74"/>
    </row>
    <row r="101" spans="1:24" s="1" customFormat="1" ht="11.25" customHeight="1">
      <c r="A101" s="207" t="s">
        <v>58</v>
      </c>
      <c r="B101" s="208"/>
      <c r="C101" s="208"/>
      <c r="D101" s="209"/>
      <c r="E101" s="127"/>
      <c r="F101" s="163">
        <v>90</v>
      </c>
      <c r="G101" s="161">
        <v>92</v>
      </c>
      <c r="H101" s="161">
        <v>383</v>
      </c>
      <c r="I101" s="161">
        <v>2720</v>
      </c>
      <c r="J101" s="163">
        <v>1.4</v>
      </c>
      <c r="K101" s="163">
        <v>1.6</v>
      </c>
      <c r="L101" s="162">
        <v>70</v>
      </c>
      <c r="M101" s="163">
        <v>0.9</v>
      </c>
      <c r="N101" s="162">
        <v>12</v>
      </c>
      <c r="O101" s="162">
        <v>1200</v>
      </c>
      <c r="P101" s="162">
        <v>1200</v>
      </c>
      <c r="Q101" s="162">
        <v>14</v>
      </c>
      <c r="R101" s="161">
        <v>0.1</v>
      </c>
      <c r="S101" s="162">
        <v>300</v>
      </c>
      <c r="T101" s="163">
        <v>18</v>
      </c>
      <c r="U101" s="77"/>
      <c r="V101" s="78"/>
      <c r="W101" s="78"/>
      <c r="X101" s="78"/>
    </row>
    <row r="102" spans="1:24" s="6" customFormat="1" ht="11.25" customHeight="1">
      <c r="A102" s="210" t="s">
        <v>57</v>
      </c>
      <c r="B102" s="211"/>
      <c r="C102" s="211"/>
      <c r="D102" s="212"/>
      <c r="E102" s="121"/>
      <c r="F102" s="51">
        <f t="shared" ref="F102:T102" si="28">F100/F101</f>
        <v>0.61974074074074081</v>
      </c>
      <c r="G102" s="153">
        <f t="shared" si="28"/>
        <v>0.66476630434782602</v>
      </c>
      <c r="H102" s="153">
        <f t="shared" si="28"/>
        <v>0.53362053959965194</v>
      </c>
      <c r="I102" s="153">
        <f t="shared" si="28"/>
        <v>0.55954037990196093</v>
      </c>
      <c r="J102" s="153">
        <f t="shared" si="28"/>
        <v>0.92464285714285721</v>
      </c>
      <c r="K102" s="153">
        <f t="shared" si="28"/>
        <v>0.66937499999999994</v>
      </c>
      <c r="L102" s="153">
        <f t="shared" si="28"/>
        <v>0.7375571428571428</v>
      </c>
      <c r="M102" s="33">
        <f t="shared" si="28"/>
        <v>14.545555555555556</v>
      </c>
      <c r="N102" s="33">
        <f t="shared" si="28"/>
        <v>0.55812499999999998</v>
      </c>
      <c r="O102" s="153">
        <f t="shared" si="28"/>
        <v>0.19301333333333331</v>
      </c>
      <c r="P102" s="153">
        <f t="shared" si="28"/>
        <v>0.65273708333333336</v>
      </c>
      <c r="Q102" s="153">
        <f t="shared" si="28"/>
        <v>0.39978571428571424</v>
      </c>
      <c r="R102" s="33">
        <f t="shared" si="28"/>
        <v>0.60050000000000003</v>
      </c>
      <c r="S102" s="153">
        <f t="shared" si="28"/>
        <v>0.53342166666666668</v>
      </c>
      <c r="T102" s="153">
        <f t="shared" si="28"/>
        <v>0.56008333333333338</v>
      </c>
      <c r="U102" s="38"/>
      <c r="V102" s="39"/>
      <c r="W102" s="39"/>
      <c r="X102" s="39"/>
    </row>
    <row r="103" spans="1:24" s="1" customFormat="1" ht="11.25" customHeight="1">
      <c r="A103" s="235" t="s">
        <v>34</v>
      </c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11"/>
      <c r="V103" s="23"/>
      <c r="W103" s="23"/>
      <c r="X103" s="23"/>
    </row>
    <row r="104" spans="1:24" s="1" customFormat="1" ht="11.25" customHeight="1">
      <c r="A104" s="43" t="s">
        <v>50</v>
      </c>
      <c r="B104" s="41"/>
      <c r="C104" s="41"/>
      <c r="D104" s="2"/>
      <c r="E104" s="2"/>
      <c r="F104" s="140"/>
      <c r="G104" s="238" t="s">
        <v>35</v>
      </c>
      <c r="H104" s="238"/>
      <c r="I104" s="238"/>
      <c r="J104" s="144"/>
      <c r="K104" s="144"/>
      <c r="L104" s="219" t="s">
        <v>1</v>
      </c>
      <c r="M104" s="219"/>
      <c r="N104" s="248"/>
      <c r="O104" s="248"/>
      <c r="P104" s="248"/>
      <c r="Q104" s="248"/>
      <c r="R104" s="144"/>
      <c r="S104" s="144"/>
      <c r="T104" s="144"/>
      <c r="U104" s="12"/>
      <c r="V104" s="18"/>
      <c r="W104" s="18"/>
      <c r="X104" s="18"/>
    </row>
    <row r="105" spans="1:24" s="1" customFormat="1" ht="11.25" customHeight="1">
      <c r="A105" s="41"/>
      <c r="B105" s="41"/>
      <c r="C105" s="41"/>
      <c r="D105" s="232" t="s">
        <v>2</v>
      </c>
      <c r="E105" s="232"/>
      <c r="F105" s="232"/>
      <c r="G105" s="5">
        <v>1</v>
      </c>
      <c r="H105" s="144"/>
      <c r="I105" s="2"/>
      <c r="J105" s="2"/>
      <c r="K105" s="2"/>
      <c r="L105" s="232" t="s">
        <v>3</v>
      </c>
      <c r="M105" s="232"/>
      <c r="N105" s="238" t="str">
        <f>N72</f>
        <v>7-11 лет;12 и старше</v>
      </c>
      <c r="O105" s="238"/>
      <c r="P105" s="238"/>
      <c r="Q105" s="238"/>
      <c r="R105" s="238"/>
      <c r="S105" s="238"/>
      <c r="T105" s="238"/>
      <c r="U105" s="13"/>
      <c r="V105" s="19"/>
      <c r="W105" s="19"/>
      <c r="X105" s="19"/>
    </row>
    <row r="106" spans="1:24" s="1" customFormat="1" ht="21.75" customHeight="1">
      <c r="A106" s="246" t="s">
        <v>70</v>
      </c>
      <c r="B106" s="246" t="s">
        <v>5</v>
      </c>
      <c r="C106" s="246"/>
      <c r="D106" s="246" t="s">
        <v>6</v>
      </c>
      <c r="E106" s="122"/>
      <c r="F106" s="254" t="s">
        <v>7</v>
      </c>
      <c r="G106" s="254"/>
      <c r="H106" s="254"/>
      <c r="I106" s="246" t="s">
        <v>8</v>
      </c>
      <c r="J106" s="254" t="s">
        <v>9</v>
      </c>
      <c r="K106" s="254"/>
      <c r="L106" s="254"/>
      <c r="M106" s="254"/>
      <c r="N106" s="254"/>
      <c r="O106" s="254" t="s">
        <v>10</v>
      </c>
      <c r="P106" s="254"/>
      <c r="Q106" s="254"/>
      <c r="R106" s="254"/>
      <c r="S106" s="254"/>
      <c r="T106" s="254"/>
      <c r="U106" s="7"/>
      <c r="V106" s="20"/>
      <c r="W106" s="20"/>
      <c r="X106" s="20"/>
    </row>
    <row r="107" spans="1:24" s="1" customFormat="1" ht="21" customHeight="1">
      <c r="A107" s="247"/>
      <c r="B107" s="241"/>
      <c r="C107" s="242"/>
      <c r="D107" s="247"/>
      <c r="E107" s="123"/>
      <c r="F107" s="57" t="s">
        <v>11</v>
      </c>
      <c r="G107" s="129" t="s">
        <v>12</v>
      </c>
      <c r="H107" s="129" t="s">
        <v>13</v>
      </c>
      <c r="I107" s="247"/>
      <c r="J107" s="129" t="s">
        <v>14</v>
      </c>
      <c r="K107" s="129" t="s">
        <v>52</v>
      </c>
      <c r="L107" s="129" t="s">
        <v>15</v>
      </c>
      <c r="M107" s="129" t="s">
        <v>16</v>
      </c>
      <c r="N107" s="129" t="s">
        <v>17</v>
      </c>
      <c r="O107" s="129" t="s">
        <v>18</v>
      </c>
      <c r="P107" s="129" t="s">
        <v>19</v>
      </c>
      <c r="Q107" s="129" t="s">
        <v>53</v>
      </c>
      <c r="R107" s="129" t="s">
        <v>54</v>
      </c>
      <c r="S107" s="129" t="s">
        <v>20</v>
      </c>
      <c r="T107" s="129" t="s">
        <v>21</v>
      </c>
      <c r="U107" s="7"/>
      <c r="V107" s="20"/>
      <c r="W107" s="20"/>
      <c r="X107" s="20"/>
    </row>
    <row r="108" spans="1:24" s="1" customFormat="1" ht="11.25" customHeight="1">
      <c r="A108" s="172">
        <v>1</v>
      </c>
      <c r="B108" s="255">
        <v>2</v>
      </c>
      <c r="C108" s="255"/>
      <c r="D108" s="28">
        <v>3</v>
      </c>
      <c r="E108" s="28"/>
      <c r="F108" s="58">
        <v>4</v>
      </c>
      <c r="G108" s="28">
        <v>5</v>
      </c>
      <c r="H108" s="28">
        <v>6</v>
      </c>
      <c r="I108" s="28">
        <v>7</v>
      </c>
      <c r="J108" s="28">
        <v>8</v>
      </c>
      <c r="K108" s="28">
        <v>9</v>
      </c>
      <c r="L108" s="28">
        <v>10</v>
      </c>
      <c r="M108" s="28">
        <v>11</v>
      </c>
      <c r="N108" s="28">
        <v>12</v>
      </c>
      <c r="O108" s="28">
        <v>13</v>
      </c>
      <c r="P108" s="28">
        <v>14</v>
      </c>
      <c r="Q108" s="28">
        <v>15</v>
      </c>
      <c r="R108" s="28">
        <v>16</v>
      </c>
      <c r="S108" s="28">
        <v>17</v>
      </c>
      <c r="T108" s="28">
        <v>18</v>
      </c>
      <c r="U108" s="8"/>
      <c r="V108" s="21"/>
      <c r="W108" s="21"/>
      <c r="X108" s="21"/>
    </row>
    <row r="109" spans="1:24" s="1" customFormat="1" ht="11.25" customHeight="1">
      <c r="A109" s="220" t="s">
        <v>111</v>
      </c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9"/>
      <c r="V109" s="22"/>
      <c r="W109" s="22"/>
      <c r="X109" s="22"/>
    </row>
    <row r="110" spans="1:24" s="180" customFormat="1" ht="21.75" customHeight="1">
      <c r="A110" s="172">
        <v>173</v>
      </c>
      <c r="B110" s="201" t="s">
        <v>92</v>
      </c>
      <c r="C110" s="202"/>
      <c r="D110" s="162">
        <v>250</v>
      </c>
      <c r="E110" s="163">
        <v>19.489999999999998</v>
      </c>
      <c r="F110" s="163">
        <v>9.125</v>
      </c>
      <c r="G110" s="163">
        <v>15.62</v>
      </c>
      <c r="H110" s="163">
        <v>67.87</v>
      </c>
      <c r="I110" s="163">
        <v>448.62</v>
      </c>
      <c r="J110" s="163">
        <v>0.17</v>
      </c>
      <c r="K110" s="163">
        <v>0.22500000000000001</v>
      </c>
      <c r="L110" s="163">
        <v>4.1879999999999997</v>
      </c>
      <c r="M110" s="164">
        <v>4.5999999999999999E-2</v>
      </c>
      <c r="N110" s="160">
        <v>1.62</v>
      </c>
      <c r="O110" s="163">
        <v>184.5</v>
      </c>
      <c r="P110" s="163">
        <v>248.25</v>
      </c>
      <c r="Q110" s="162">
        <v>0</v>
      </c>
      <c r="R110" s="164">
        <v>0</v>
      </c>
      <c r="S110" s="163">
        <v>72.25</v>
      </c>
      <c r="T110" s="163">
        <v>1.625</v>
      </c>
      <c r="U110" s="178"/>
      <c r="V110" s="185"/>
      <c r="W110" s="185"/>
      <c r="X110" s="185"/>
    </row>
    <row r="111" spans="1:24" s="130" customFormat="1" ht="12" customHeight="1">
      <c r="A111" s="174">
        <v>15</v>
      </c>
      <c r="B111" s="201" t="s">
        <v>66</v>
      </c>
      <c r="C111" s="202"/>
      <c r="D111" s="162">
        <v>25</v>
      </c>
      <c r="E111" s="163">
        <v>17.5</v>
      </c>
      <c r="F111" s="163">
        <f>2.32*D111/10</f>
        <v>5.7999999999999989</v>
      </c>
      <c r="G111" s="163">
        <f>3.4*D111/10</f>
        <v>8.5</v>
      </c>
      <c r="H111" s="163">
        <f>0.01*D111/10</f>
        <v>2.5000000000000001E-2</v>
      </c>
      <c r="I111" s="163">
        <f>F111*4+G111*9+H111*4</f>
        <v>99.799999999999983</v>
      </c>
      <c r="J111" s="163">
        <f>0.004*D111/10</f>
        <v>0.01</v>
      </c>
      <c r="K111" s="163">
        <f>0.03*D111/10</f>
        <v>7.4999999999999997E-2</v>
      </c>
      <c r="L111" s="163">
        <f>0.07*D111/10</f>
        <v>0.17500000000000002</v>
      </c>
      <c r="M111" s="164">
        <f>0.023*D111/10</f>
        <v>5.7499999999999996E-2</v>
      </c>
      <c r="N111" s="163">
        <f>0.05*D111/10</f>
        <v>0.125</v>
      </c>
      <c r="O111" s="163">
        <f>88*D111/10</f>
        <v>220</v>
      </c>
      <c r="P111" s="163">
        <f>50*D111/10</f>
        <v>125</v>
      </c>
      <c r="Q111" s="163">
        <f>0.4*D111/10</f>
        <v>1</v>
      </c>
      <c r="R111" s="164">
        <f>0.02*D111/10</f>
        <v>0.05</v>
      </c>
      <c r="S111" s="163">
        <f>3.5*D111/10</f>
        <v>8.75</v>
      </c>
      <c r="T111" s="163">
        <f>0.13*D111/10</f>
        <v>0.32500000000000001</v>
      </c>
      <c r="U111" s="135"/>
      <c r="V111" s="131"/>
      <c r="W111" s="131"/>
      <c r="X111" s="132"/>
    </row>
    <row r="112" spans="1:24" s="130" customFormat="1" ht="12.75" customHeight="1">
      <c r="A112" s="172">
        <v>377</v>
      </c>
      <c r="B112" s="203" t="s">
        <v>43</v>
      </c>
      <c r="C112" s="203"/>
      <c r="D112" s="162">
        <v>200</v>
      </c>
      <c r="E112" s="163">
        <v>3.81</v>
      </c>
      <c r="F112" s="163">
        <v>0.26</v>
      </c>
      <c r="G112" s="163">
        <v>0.06</v>
      </c>
      <c r="H112" s="163">
        <v>15.22</v>
      </c>
      <c r="I112" s="163">
        <f>F112*4+G112*9+H112*4</f>
        <v>62.46</v>
      </c>
      <c r="J112" s="163"/>
      <c r="K112" s="163">
        <v>0.01</v>
      </c>
      <c r="L112" s="163">
        <v>2.9</v>
      </c>
      <c r="M112" s="160">
        <v>0</v>
      </c>
      <c r="N112" s="163">
        <v>0.06</v>
      </c>
      <c r="O112" s="163">
        <v>8.0500000000000007</v>
      </c>
      <c r="P112" s="163">
        <v>9.7799999999999994</v>
      </c>
      <c r="Q112" s="163">
        <v>1.7000000000000001E-2</v>
      </c>
      <c r="R112" s="164">
        <v>0</v>
      </c>
      <c r="S112" s="163">
        <v>5.24</v>
      </c>
      <c r="T112" s="163">
        <v>0.87</v>
      </c>
      <c r="U112" s="135"/>
      <c r="V112" s="136"/>
      <c r="W112" s="136"/>
      <c r="X112" s="136"/>
    </row>
    <row r="113" spans="1:25" s="130" customFormat="1" ht="11.25" customHeight="1">
      <c r="A113" s="174">
        <v>338</v>
      </c>
      <c r="B113" s="203" t="s">
        <v>87</v>
      </c>
      <c r="C113" s="203"/>
      <c r="D113" s="162">
        <v>100</v>
      </c>
      <c r="E113" s="163">
        <v>29.68</v>
      </c>
      <c r="F113" s="163">
        <v>0.4</v>
      </c>
      <c r="G113" s="163">
        <v>0.4</v>
      </c>
      <c r="H113" s="163">
        <v>9.8000000000000007</v>
      </c>
      <c r="I113" s="163">
        <f>F113*4+G113*9+H113*4</f>
        <v>44.400000000000006</v>
      </c>
      <c r="J113" s="163">
        <v>0.04</v>
      </c>
      <c r="K113" s="163">
        <v>0.02</v>
      </c>
      <c r="L113" s="162">
        <v>10</v>
      </c>
      <c r="M113" s="162">
        <v>0.02</v>
      </c>
      <c r="N113" s="163">
        <v>0.2</v>
      </c>
      <c r="O113" s="163">
        <v>16</v>
      </c>
      <c r="P113" s="163">
        <v>11</v>
      </c>
      <c r="Q113" s="162">
        <v>0.03</v>
      </c>
      <c r="R113" s="162">
        <v>2E-3</v>
      </c>
      <c r="S113" s="163">
        <v>9</v>
      </c>
      <c r="T113" s="163">
        <v>2.2000000000000002</v>
      </c>
      <c r="U113" s="135"/>
      <c r="V113" s="131"/>
      <c r="W113" s="131"/>
      <c r="X113" s="132"/>
    </row>
    <row r="114" spans="1:25" s="130" customFormat="1" ht="12.75" customHeight="1">
      <c r="A114" s="167" t="s">
        <v>60</v>
      </c>
      <c r="B114" s="201" t="s">
        <v>49</v>
      </c>
      <c r="C114" s="202"/>
      <c r="D114" s="162">
        <v>30</v>
      </c>
      <c r="E114" s="163">
        <v>2.52</v>
      </c>
      <c r="F114" s="163">
        <f>1.52*D114/30</f>
        <v>1.52</v>
      </c>
      <c r="G114" s="164">
        <f>0.16*D114/30</f>
        <v>0.16</v>
      </c>
      <c r="H114" s="164">
        <f>9.84*D114/30</f>
        <v>9.84</v>
      </c>
      <c r="I114" s="164">
        <f>F114*4+G114*9+H114*4</f>
        <v>46.879999999999995</v>
      </c>
      <c r="J114" s="164">
        <f>0.02*D114/30</f>
        <v>0.02</v>
      </c>
      <c r="K114" s="164">
        <f>0.01*D114/30</f>
        <v>0.01</v>
      </c>
      <c r="L114" s="164">
        <f>0.44*D114/30</f>
        <v>0.44</v>
      </c>
      <c r="M114" s="164">
        <v>0</v>
      </c>
      <c r="N114" s="164">
        <f>0.7*D114/30</f>
        <v>0.7</v>
      </c>
      <c r="O114" s="164">
        <f>4*D114/30</f>
        <v>4</v>
      </c>
      <c r="P114" s="164">
        <f>13*D114/30</f>
        <v>13</v>
      </c>
      <c r="Q114" s="164">
        <f>0.008*D114/30</f>
        <v>8.0000000000000002E-3</v>
      </c>
      <c r="R114" s="164">
        <f>0.001*D114/30</f>
        <v>1E-3</v>
      </c>
      <c r="S114" s="164">
        <v>0</v>
      </c>
      <c r="T114" s="164">
        <f>0.22*D114/30</f>
        <v>0.22</v>
      </c>
      <c r="U114" s="135"/>
      <c r="V114" s="136"/>
      <c r="W114" s="136"/>
      <c r="X114" s="136"/>
    </row>
    <row r="115" spans="1:25" s="1" customFormat="1" ht="11.25" customHeight="1">
      <c r="A115" s="45" t="s">
        <v>25</v>
      </c>
      <c r="B115" s="45"/>
      <c r="C115" s="45"/>
      <c r="D115" s="158">
        <f>SUM(D110:D114)</f>
        <v>605</v>
      </c>
      <c r="E115" s="175">
        <f>SUM(E110:E114)</f>
        <v>72.999999999999986</v>
      </c>
      <c r="F115" s="175">
        <f t="shared" ref="F115:T115" si="29">SUM(F110:F114)</f>
        <v>17.105</v>
      </c>
      <c r="G115" s="175">
        <f t="shared" si="29"/>
        <v>24.739999999999995</v>
      </c>
      <c r="H115" s="175">
        <f t="shared" si="29"/>
        <v>102.75500000000001</v>
      </c>
      <c r="I115" s="175">
        <f t="shared" si="29"/>
        <v>702.16</v>
      </c>
      <c r="J115" s="175">
        <f t="shared" si="29"/>
        <v>0.24000000000000002</v>
      </c>
      <c r="K115" s="175">
        <f t="shared" si="29"/>
        <v>0.34</v>
      </c>
      <c r="L115" s="175">
        <f t="shared" si="29"/>
        <v>17.702999999999999</v>
      </c>
      <c r="M115" s="175">
        <f t="shared" si="29"/>
        <v>0.1235</v>
      </c>
      <c r="N115" s="175">
        <f t="shared" si="29"/>
        <v>2.7050000000000001</v>
      </c>
      <c r="O115" s="175">
        <f t="shared" si="29"/>
        <v>432.55</v>
      </c>
      <c r="P115" s="175">
        <f t="shared" si="29"/>
        <v>407.03</v>
      </c>
      <c r="Q115" s="175">
        <f t="shared" si="29"/>
        <v>1.0549999999999999</v>
      </c>
      <c r="R115" s="175">
        <f t="shared" si="29"/>
        <v>5.3000000000000005E-2</v>
      </c>
      <c r="S115" s="175">
        <f t="shared" si="29"/>
        <v>95.24</v>
      </c>
      <c r="T115" s="175">
        <f t="shared" si="29"/>
        <v>5.2399999999999993</v>
      </c>
      <c r="U115" s="29"/>
      <c r="V115" s="51">
        <f>AVERAGE(I116,I149,I184,I217,I251)</f>
        <v>42.558759926470586</v>
      </c>
      <c r="W115" s="51" t="e">
        <f>AVERAGE(I127,I160,#REF!,I227,#REF!)</f>
        <v>#REF!</v>
      </c>
      <c r="X115" s="51">
        <f>AVERAGE(I132,I166,I201,I232,I266)</f>
        <v>853.23516666666671</v>
      </c>
      <c r="Y115" s="72"/>
    </row>
    <row r="116" spans="1:25" s="1" customFormat="1" ht="11.25" customHeight="1">
      <c r="A116" s="207" t="s">
        <v>57</v>
      </c>
      <c r="B116" s="208"/>
      <c r="C116" s="208"/>
      <c r="D116" s="209"/>
      <c r="E116" s="127"/>
      <c r="F116" s="63">
        <f t="shared" ref="F116:T116" si="30">F115/F134</f>
        <v>0.19005555555555556</v>
      </c>
      <c r="G116" s="104">
        <f t="shared" si="30"/>
        <v>0.26891304347826084</v>
      </c>
      <c r="H116" s="104">
        <f t="shared" si="30"/>
        <v>0.26828981723237599</v>
      </c>
      <c r="I116" s="104">
        <f t="shared" si="30"/>
        <v>0.2581470588235294</v>
      </c>
      <c r="J116" s="104">
        <f t="shared" si="30"/>
        <v>0.17142857142857146</v>
      </c>
      <c r="K116" s="104">
        <f t="shared" si="30"/>
        <v>0.21249999999999999</v>
      </c>
      <c r="L116" s="104">
        <f t="shared" si="30"/>
        <v>0.25290000000000001</v>
      </c>
      <c r="M116" s="104">
        <f t="shared" si="30"/>
        <v>0.13722222222222222</v>
      </c>
      <c r="N116" s="104">
        <f t="shared" si="30"/>
        <v>0.22541666666666668</v>
      </c>
      <c r="O116" s="104">
        <f t="shared" si="30"/>
        <v>0.36045833333333333</v>
      </c>
      <c r="P116" s="104">
        <f t="shared" si="30"/>
        <v>0.33919166666666667</v>
      </c>
      <c r="Q116" s="104">
        <f t="shared" si="30"/>
        <v>7.5357142857142859E-2</v>
      </c>
      <c r="R116" s="104">
        <f t="shared" si="30"/>
        <v>0.53</v>
      </c>
      <c r="S116" s="104">
        <f t="shared" si="30"/>
        <v>0.31746666666666667</v>
      </c>
      <c r="T116" s="104">
        <f t="shared" si="30"/>
        <v>0.2911111111111111</v>
      </c>
      <c r="U116" s="76"/>
      <c r="V116" s="75"/>
      <c r="W116" s="75"/>
      <c r="X116" s="75"/>
    </row>
    <row r="117" spans="1:25" s="1" customFormat="1" ht="11.25" customHeight="1">
      <c r="A117" s="220" t="s">
        <v>26</v>
      </c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9"/>
      <c r="V117" s="22"/>
      <c r="W117" s="22"/>
      <c r="X117" s="22"/>
    </row>
    <row r="118" spans="1:25" s="181" customFormat="1" ht="21.75" customHeight="1">
      <c r="A118" s="167">
        <v>52</v>
      </c>
      <c r="B118" s="201" t="s">
        <v>104</v>
      </c>
      <c r="C118" s="202"/>
      <c r="D118" s="162">
        <v>100</v>
      </c>
      <c r="E118" s="163">
        <v>8.35</v>
      </c>
      <c r="F118" s="163">
        <v>1.4333333333333333</v>
      </c>
      <c r="G118" s="163">
        <v>5.083333333333333</v>
      </c>
      <c r="H118" s="163">
        <v>8.5500000000000007</v>
      </c>
      <c r="I118" s="163">
        <v>85.683333333333337</v>
      </c>
      <c r="J118" s="163">
        <v>1.6666666666666666E-2</v>
      </c>
      <c r="K118" s="163">
        <v>3.3333333333333333E-2</v>
      </c>
      <c r="L118" s="161">
        <v>9.5</v>
      </c>
      <c r="M118" s="163">
        <v>1.6666666666666666E-2</v>
      </c>
      <c r="N118" s="163">
        <v>0.16666666666666666</v>
      </c>
      <c r="O118" s="163">
        <v>44.35</v>
      </c>
      <c r="P118" s="163">
        <v>42.733333333333334</v>
      </c>
      <c r="Q118" s="163">
        <v>0.71666666666666667</v>
      </c>
      <c r="R118" s="164">
        <v>1.6666666666666666E-2</v>
      </c>
      <c r="S118" s="161">
        <v>21.45</v>
      </c>
      <c r="T118" s="163">
        <v>1.4</v>
      </c>
      <c r="U118" s="178"/>
      <c r="V118" s="179"/>
      <c r="W118" s="179"/>
      <c r="X118" s="179"/>
    </row>
    <row r="119" spans="1:25" s="180" customFormat="1" ht="22.5" customHeight="1">
      <c r="A119" s="172">
        <v>82</v>
      </c>
      <c r="B119" s="201" t="s">
        <v>81</v>
      </c>
      <c r="C119" s="202"/>
      <c r="D119" s="160">
        <v>250</v>
      </c>
      <c r="E119" s="160">
        <v>14.27</v>
      </c>
      <c r="F119" s="163">
        <v>2.4300000000000002</v>
      </c>
      <c r="G119" s="163">
        <v>3.12</v>
      </c>
      <c r="H119" s="163">
        <v>12.01</v>
      </c>
      <c r="I119" s="163">
        <f t="shared" ref="I119:I125" si="31">F119*4+G119*9+H119*4</f>
        <v>85.84</v>
      </c>
      <c r="J119" s="160">
        <v>6.4000000000000001E-2</v>
      </c>
      <c r="K119" s="160">
        <v>6.4000000000000001E-2</v>
      </c>
      <c r="L119" s="163">
        <v>20.98</v>
      </c>
      <c r="M119" s="164">
        <v>7.5999999999999998E-2</v>
      </c>
      <c r="N119" s="163">
        <v>0.25700000000000001</v>
      </c>
      <c r="O119" s="163">
        <v>49.59</v>
      </c>
      <c r="P119" s="163">
        <v>58.68</v>
      </c>
      <c r="Q119" s="163">
        <v>0.746</v>
      </c>
      <c r="R119" s="164">
        <v>1.0999999999999999E-2</v>
      </c>
      <c r="S119" s="163">
        <v>25.43</v>
      </c>
      <c r="T119" s="163">
        <v>1.32</v>
      </c>
      <c r="U119" s="178"/>
      <c r="V119" s="179"/>
      <c r="W119" s="179"/>
      <c r="X119" s="179"/>
    </row>
    <row r="120" spans="1:25" s="180" customFormat="1" ht="22.5" customHeight="1">
      <c r="A120" s="167">
        <v>232</v>
      </c>
      <c r="B120" s="201" t="s">
        <v>95</v>
      </c>
      <c r="C120" s="202"/>
      <c r="D120" s="162">
        <v>100</v>
      </c>
      <c r="E120" s="163">
        <v>34.82</v>
      </c>
      <c r="F120" s="163">
        <v>20.2</v>
      </c>
      <c r="G120" s="163">
        <v>12.07</v>
      </c>
      <c r="H120" s="163">
        <v>2.08</v>
      </c>
      <c r="I120" s="163">
        <v>197.75</v>
      </c>
      <c r="J120" s="163">
        <v>0.2</v>
      </c>
      <c r="K120" s="163">
        <v>0.17</v>
      </c>
      <c r="L120" s="163">
        <v>2.63</v>
      </c>
      <c r="M120" s="164">
        <v>3.125E-2</v>
      </c>
      <c r="N120" s="163">
        <v>0.3</v>
      </c>
      <c r="O120" s="163">
        <v>86.112499999999997</v>
      </c>
      <c r="P120" s="163">
        <v>41.762499999999996</v>
      </c>
      <c r="Q120" s="161">
        <v>0.8</v>
      </c>
      <c r="R120" s="161">
        <v>0.04</v>
      </c>
      <c r="S120" s="163">
        <v>28.962499999999999</v>
      </c>
      <c r="T120" s="163">
        <v>0.91249999999999998</v>
      </c>
      <c r="U120" s="178"/>
      <c r="V120" s="179"/>
      <c r="W120" s="179"/>
      <c r="X120" s="179"/>
    </row>
    <row r="121" spans="1:25" s="180" customFormat="1" ht="19.5" customHeight="1">
      <c r="A121" s="167">
        <v>312</v>
      </c>
      <c r="B121" s="201" t="s">
        <v>45</v>
      </c>
      <c r="C121" s="202"/>
      <c r="D121" s="162">
        <v>180</v>
      </c>
      <c r="E121" s="163">
        <v>19.71</v>
      </c>
      <c r="F121" s="163">
        <v>3.9480000000000004</v>
      </c>
      <c r="G121" s="163">
        <v>8.4719999999999995</v>
      </c>
      <c r="H121" s="163">
        <v>26.652000000000001</v>
      </c>
      <c r="I121" s="163">
        <v>198.648</v>
      </c>
      <c r="J121" s="163">
        <v>0.192</v>
      </c>
      <c r="K121" s="163">
        <v>0.15600000000000003</v>
      </c>
      <c r="L121" s="163">
        <v>0.876</v>
      </c>
      <c r="M121" s="164">
        <v>9.6000000000000002E-2</v>
      </c>
      <c r="N121" s="160">
        <v>1.8</v>
      </c>
      <c r="O121" s="163">
        <v>51.048000000000002</v>
      </c>
      <c r="P121" s="161">
        <v>117.3</v>
      </c>
      <c r="Q121" s="164">
        <v>0.35880000000000001</v>
      </c>
      <c r="R121" s="164">
        <v>1.1999999999999999E-3</v>
      </c>
      <c r="S121" s="163">
        <v>39.672000000000004</v>
      </c>
      <c r="T121" s="163">
        <v>1.4279999999999999</v>
      </c>
      <c r="U121" s="178"/>
      <c r="V121" s="179"/>
      <c r="W121" s="179"/>
      <c r="X121" s="179"/>
    </row>
    <row r="122" spans="1:25" s="180" customFormat="1">
      <c r="A122" s="69">
        <v>345</v>
      </c>
      <c r="B122" s="206" t="s">
        <v>46</v>
      </c>
      <c r="C122" s="206"/>
      <c r="D122" s="71">
        <v>200</v>
      </c>
      <c r="E122" s="67">
        <v>4.9000000000000004</v>
      </c>
      <c r="F122" s="67">
        <v>0.06</v>
      </c>
      <c r="G122" s="67">
        <v>0.02</v>
      </c>
      <c r="H122" s="67">
        <v>20.73</v>
      </c>
      <c r="I122" s="67">
        <v>83.34</v>
      </c>
      <c r="J122" s="67">
        <v>0</v>
      </c>
      <c r="K122" s="67">
        <v>0</v>
      </c>
      <c r="L122" s="67">
        <v>2.5</v>
      </c>
      <c r="M122" s="67">
        <v>4.0000000000000001E-3</v>
      </c>
      <c r="N122" s="67">
        <v>0.2</v>
      </c>
      <c r="O122" s="67">
        <v>4</v>
      </c>
      <c r="P122" s="67">
        <v>3.3</v>
      </c>
      <c r="Q122" s="67">
        <v>0.08</v>
      </c>
      <c r="R122" s="67">
        <v>1E-3</v>
      </c>
      <c r="S122" s="67">
        <v>1.7</v>
      </c>
      <c r="T122" s="67">
        <v>0.15</v>
      </c>
      <c r="U122" s="178"/>
      <c r="V122" s="179"/>
      <c r="W122" s="179"/>
      <c r="X122" s="179"/>
    </row>
    <row r="123" spans="1:25" s="106" customFormat="1">
      <c r="A123" s="90" t="s">
        <v>60</v>
      </c>
      <c r="B123" s="213" t="s">
        <v>88</v>
      </c>
      <c r="C123" s="214"/>
      <c r="D123" s="90">
        <v>20</v>
      </c>
      <c r="E123" s="91">
        <v>7.35</v>
      </c>
      <c r="F123" s="91">
        <v>0.65</v>
      </c>
      <c r="G123" s="92">
        <v>3.8</v>
      </c>
      <c r="H123" s="93">
        <v>17.600000000000001</v>
      </c>
      <c r="I123" s="91">
        <v>38</v>
      </c>
      <c r="J123" s="91">
        <v>2.5999999999999999E-2</v>
      </c>
      <c r="K123" s="91">
        <v>0.03</v>
      </c>
      <c r="L123" s="91">
        <v>0.13</v>
      </c>
      <c r="M123" s="91">
        <v>11.96</v>
      </c>
      <c r="N123" s="92">
        <v>0.39</v>
      </c>
      <c r="O123" s="91">
        <v>24.18</v>
      </c>
      <c r="P123" s="91">
        <v>49.4</v>
      </c>
      <c r="Q123" s="94">
        <v>0.2</v>
      </c>
      <c r="R123" s="91">
        <v>2E-3</v>
      </c>
      <c r="S123" s="91">
        <v>18.72</v>
      </c>
      <c r="T123" s="91">
        <v>0.182</v>
      </c>
      <c r="U123"/>
      <c r="V123"/>
      <c r="W123"/>
      <c r="X123"/>
    </row>
    <row r="124" spans="1:25" s="180" customFormat="1" ht="11.25" customHeight="1">
      <c r="A124" s="52" t="s">
        <v>60</v>
      </c>
      <c r="B124" s="201" t="s">
        <v>44</v>
      </c>
      <c r="C124" s="202"/>
      <c r="D124" s="162">
        <v>40</v>
      </c>
      <c r="E124" s="163">
        <v>2.08</v>
      </c>
      <c r="F124" s="163">
        <f>2.64*D124/40</f>
        <v>2.64</v>
      </c>
      <c r="G124" s="163">
        <f>0.48*D124/40</f>
        <v>0.48</v>
      </c>
      <c r="H124" s="163">
        <f>13.68*D124/40</f>
        <v>13.680000000000001</v>
      </c>
      <c r="I124" s="163">
        <f t="shared" si="31"/>
        <v>69.600000000000009</v>
      </c>
      <c r="J124" s="160">
        <f>0.08*D124/40</f>
        <v>0.08</v>
      </c>
      <c r="K124" s="163">
        <f>0.04*D124/40</f>
        <v>0.04</v>
      </c>
      <c r="L124" s="162">
        <v>0</v>
      </c>
      <c r="M124" s="162">
        <v>0</v>
      </c>
      <c r="N124" s="163">
        <f>2.4*D124/40</f>
        <v>2.4</v>
      </c>
      <c r="O124" s="163">
        <f>14*D124/40</f>
        <v>14</v>
      </c>
      <c r="P124" s="163">
        <f>63.2*D124/40</f>
        <v>63.2</v>
      </c>
      <c r="Q124" s="163">
        <f>1.2*D124/40</f>
        <v>1.2</v>
      </c>
      <c r="R124" s="164">
        <f>0.001*D124/40</f>
        <v>1E-3</v>
      </c>
      <c r="S124" s="163">
        <f>9.4*D124/40</f>
        <v>9.4</v>
      </c>
      <c r="T124" s="160">
        <f>0.78*D124/40</f>
        <v>0.78</v>
      </c>
      <c r="U124" s="188"/>
      <c r="V124" s="189"/>
      <c r="W124" s="189"/>
      <c r="X124" s="189"/>
    </row>
    <row r="125" spans="1:25" s="73" customFormat="1" ht="11.25" customHeight="1">
      <c r="A125" s="167" t="s">
        <v>60</v>
      </c>
      <c r="B125" s="201" t="s">
        <v>49</v>
      </c>
      <c r="C125" s="202"/>
      <c r="D125" s="162">
        <v>30</v>
      </c>
      <c r="E125" s="163">
        <v>2.52</v>
      </c>
      <c r="F125" s="163">
        <f>1.52*D125/30</f>
        <v>1.52</v>
      </c>
      <c r="G125" s="164">
        <f>0.16*D125/30</f>
        <v>0.16</v>
      </c>
      <c r="H125" s="164">
        <f>9.84*D125/30</f>
        <v>9.84</v>
      </c>
      <c r="I125" s="164">
        <f t="shared" si="31"/>
        <v>46.879999999999995</v>
      </c>
      <c r="J125" s="164">
        <f>0.02*D125/30</f>
        <v>0.02</v>
      </c>
      <c r="K125" s="164">
        <f>0.01*D125/30</f>
        <v>0.01</v>
      </c>
      <c r="L125" s="164">
        <f>0.44*D125/30</f>
        <v>0.44</v>
      </c>
      <c r="M125" s="164">
        <v>0</v>
      </c>
      <c r="N125" s="164">
        <f>0.7*D125/30</f>
        <v>0.7</v>
      </c>
      <c r="O125" s="164">
        <f>4*D125/30</f>
        <v>4</v>
      </c>
      <c r="P125" s="164">
        <f>13*D125/30</f>
        <v>13</v>
      </c>
      <c r="Q125" s="164">
        <f>0.008*D125/30</f>
        <v>8.0000000000000002E-3</v>
      </c>
      <c r="R125" s="164">
        <f>0.001*D125/30</f>
        <v>1E-3</v>
      </c>
      <c r="S125" s="164">
        <v>0</v>
      </c>
      <c r="T125" s="164">
        <f>0.22*D125/30</f>
        <v>0.22</v>
      </c>
      <c r="U125" s="77"/>
      <c r="V125" s="78"/>
      <c r="W125" s="78"/>
      <c r="X125" s="78"/>
    </row>
    <row r="126" spans="1:25" s="1" customFormat="1" ht="11.25" customHeight="1">
      <c r="A126" s="45" t="s">
        <v>27</v>
      </c>
      <c r="B126" s="45"/>
      <c r="C126" s="45"/>
      <c r="D126" s="158">
        <f t="shared" ref="D126:I126" si="32">SUM(D118:D125)</f>
        <v>920</v>
      </c>
      <c r="E126" s="175">
        <f t="shared" si="32"/>
        <v>94</v>
      </c>
      <c r="F126" s="150">
        <f t="shared" si="32"/>
        <v>32.88133333333333</v>
      </c>
      <c r="G126" s="150">
        <f t="shared" si="32"/>
        <v>33.205333333333328</v>
      </c>
      <c r="H126" s="150">
        <f t="shared" si="32"/>
        <v>111.14200000000002</v>
      </c>
      <c r="I126" s="149">
        <f t="shared" si="32"/>
        <v>805.74133333333339</v>
      </c>
      <c r="J126" s="150">
        <f t="shared" ref="J126:S126" si="33">SUM(J118:J125)</f>
        <v>0.59866666666666668</v>
      </c>
      <c r="K126" s="150">
        <f t="shared" si="33"/>
        <v>0.5033333333333333</v>
      </c>
      <c r="L126" s="150">
        <f t="shared" si="33"/>
        <v>37.055999999999997</v>
      </c>
      <c r="M126" s="150">
        <f t="shared" si="33"/>
        <v>12.183916666666667</v>
      </c>
      <c r="N126" s="150">
        <f t="shared" si="33"/>
        <v>6.2136666666666676</v>
      </c>
      <c r="O126" s="150">
        <f t="shared" si="33"/>
        <v>277.28050000000002</v>
      </c>
      <c r="P126" s="150">
        <f t="shared" si="33"/>
        <v>389.37583333333328</v>
      </c>
      <c r="Q126" s="150">
        <f t="shared" si="33"/>
        <v>4.109466666666667</v>
      </c>
      <c r="R126" s="151">
        <f t="shared" si="33"/>
        <v>7.3866666666666678E-2</v>
      </c>
      <c r="S126" s="150">
        <f t="shared" si="33"/>
        <v>145.33450000000002</v>
      </c>
      <c r="T126" s="150">
        <f>SUM(T118:T125)</f>
        <v>6.3925000000000001</v>
      </c>
      <c r="U126" s="29"/>
      <c r="V126" s="74"/>
      <c r="W126" s="74"/>
      <c r="X126" s="74"/>
    </row>
    <row r="127" spans="1:25" s="1" customFormat="1" ht="11.25" customHeight="1">
      <c r="A127" s="207" t="s">
        <v>57</v>
      </c>
      <c r="B127" s="208"/>
      <c r="C127" s="208"/>
      <c r="D127" s="209"/>
      <c r="E127" s="127"/>
      <c r="F127" s="63">
        <f t="shared" ref="F127:T127" si="34">F126/F134</f>
        <v>0.36534814814814809</v>
      </c>
      <c r="G127" s="104">
        <f t="shared" si="34"/>
        <v>0.36092753623188401</v>
      </c>
      <c r="H127" s="104">
        <f t="shared" si="34"/>
        <v>0.29018798955613584</v>
      </c>
      <c r="I127" s="104">
        <f t="shared" si="34"/>
        <v>0.29622843137254906</v>
      </c>
      <c r="J127" s="104">
        <f t="shared" si="34"/>
        <v>0.42761904761904768</v>
      </c>
      <c r="K127" s="104">
        <f t="shared" si="34"/>
        <v>0.31458333333333327</v>
      </c>
      <c r="L127" s="104">
        <f t="shared" si="34"/>
        <v>0.52937142857142849</v>
      </c>
      <c r="M127" s="104">
        <f t="shared" si="34"/>
        <v>13.537685185185184</v>
      </c>
      <c r="N127" s="104">
        <f t="shared" si="34"/>
        <v>0.51780555555555563</v>
      </c>
      <c r="O127" s="104">
        <f t="shared" si="34"/>
        <v>0.23106708333333334</v>
      </c>
      <c r="P127" s="104">
        <f t="shared" si="34"/>
        <v>0.32447986111111105</v>
      </c>
      <c r="Q127" s="104">
        <f t="shared" si="34"/>
        <v>0.29353333333333337</v>
      </c>
      <c r="R127" s="104">
        <f t="shared" si="34"/>
        <v>0.73866666666666669</v>
      </c>
      <c r="S127" s="104">
        <f t="shared" si="34"/>
        <v>0.48444833333333343</v>
      </c>
      <c r="T127" s="104">
        <f t="shared" si="34"/>
        <v>0.35513888888888889</v>
      </c>
      <c r="U127" s="76"/>
      <c r="V127" s="74"/>
      <c r="W127" s="74"/>
      <c r="X127" s="74"/>
      <c r="Y127" s="72"/>
    </row>
    <row r="128" spans="1:25" s="1" customFormat="1" ht="11.25" customHeight="1">
      <c r="A128" s="220" t="s">
        <v>28</v>
      </c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9"/>
      <c r="V128" s="22"/>
      <c r="W128" s="22"/>
      <c r="X128" s="22"/>
    </row>
    <row r="129" spans="1:24" s="68" customFormat="1" ht="12" customHeight="1">
      <c r="A129" s="194"/>
      <c r="B129" s="231"/>
      <c r="C129" s="231"/>
      <c r="D129" s="191"/>
      <c r="E129" s="192"/>
      <c r="F129" s="192"/>
      <c r="G129" s="197"/>
      <c r="H129" s="197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</row>
    <row r="130" spans="1:24" s="68" customFormat="1" ht="13.5" customHeight="1">
      <c r="A130" s="87"/>
      <c r="B130" s="206"/>
      <c r="C130" s="206"/>
      <c r="D130" s="71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</row>
    <row r="131" spans="1:24" s="1" customFormat="1" ht="11.25" customHeight="1">
      <c r="A131" s="156" t="s">
        <v>29</v>
      </c>
      <c r="B131" s="157"/>
      <c r="C131" s="157"/>
      <c r="D131" s="158">
        <f t="shared" ref="D131:T131" si="35">SUM(D129:D130)</f>
        <v>0</v>
      </c>
      <c r="E131" s="175">
        <f t="shared" si="35"/>
        <v>0</v>
      </c>
      <c r="F131" s="175">
        <f t="shared" si="35"/>
        <v>0</v>
      </c>
      <c r="G131" s="175">
        <f t="shared" si="35"/>
        <v>0</v>
      </c>
      <c r="H131" s="175">
        <f t="shared" si="35"/>
        <v>0</v>
      </c>
      <c r="I131" s="175">
        <f t="shared" si="35"/>
        <v>0</v>
      </c>
      <c r="J131" s="175">
        <f t="shared" si="35"/>
        <v>0</v>
      </c>
      <c r="K131" s="175">
        <f t="shared" si="35"/>
        <v>0</v>
      </c>
      <c r="L131" s="175">
        <f t="shared" si="35"/>
        <v>0</v>
      </c>
      <c r="M131" s="175">
        <f t="shared" si="35"/>
        <v>0</v>
      </c>
      <c r="N131" s="175">
        <f t="shared" si="35"/>
        <v>0</v>
      </c>
      <c r="O131" s="175">
        <f t="shared" si="35"/>
        <v>0</v>
      </c>
      <c r="P131" s="175">
        <f t="shared" si="35"/>
        <v>0</v>
      </c>
      <c r="Q131" s="175">
        <f t="shared" si="35"/>
        <v>0</v>
      </c>
      <c r="R131" s="175">
        <f t="shared" si="35"/>
        <v>0</v>
      </c>
      <c r="S131" s="175">
        <f t="shared" si="35"/>
        <v>0</v>
      </c>
      <c r="T131" s="175">
        <f t="shared" si="35"/>
        <v>0</v>
      </c>
      <c r="U131" s="29"/>
      <c r="V131" s="74"/>
      <c r="W131" s="74"/>
      <c r="X131" s="74"/>
    </row>
    <row r="132" spans="1:24" s="1" customFormat="1" ht="11.25" customHeight="1">
      <c r="A132" s="207" t="s">
        <v>57</v>
      </c>
      <c r="B132" s="208"/>
      <c r="C132" s="208"/>
      <c r="D132" s="209"/>
      <c r="E132" s="66"/>
      <c r="F132" s="96">
        <f>F131/F134</f>
        <v>0</v>
      </c>
      <c r="G132" s="104">
        <f t="shared" ref="G132:T132" si="36">G131/G134</f>
        <v>0</v>
      </c>
      <c r="H132" s="104">
        <f t="shared" si="36"/>
        <v>0</v>
      </c>
      <c r="I132" s="104">
        <f t="shared" si="36"/>
        <v>0</v>
      </c>
      <c r="J132" s="104">
        <f t="shared" si="36"/>
        <v>0</v>
      </c>
      <c r="K132" s="104">
        <f t="shared" si="36"/>
        <v>0</v>
      </c>
      <c r="L132" s="104">
        <f t="shared" si="36"/>
        <v>0</v>
      </c>
      <c r="M132" s="104">
        <f t="shared" si="36"/>
        <v>0</v>
      </c>
      <c r="N132" s="104">
        <f t="shared" si="36"/>
        <v>0</v>
      </c>
      <c r="O132" s="104">
        <f t="shared" si="36"/>
        <v>0</v>
      </c>
      <c r="P132" s="104">
        <f t="shared" si="36"/>
        <v>0</v>
      </c>
      <c r="Q132" s="104">
        <f t="shared" si="36"/>
        <v>0</v>
      </c>
      <c r="R132" s="104">
        <f t="shared" si="36"/>
        <v>0</v>
      </c>
      <c r="S132" s="104">
        <f t="shared" si="36"/>
        <v>0</v>
      </c>
      <c r="T132" s="104">
        <f t="shared" si="36"/>
        <v>0</v>
      </c>
      <c r="U132" s="76"/>
      <c r="V132" s="74"/>
      <c r="W132" s="74"/>
      <c r="X132" s="74"/>
    </row>
    <row r="133" spans="1:24" s="1" customFormat="1" ht="11.25" customHeight="1">
      <c r="A133" s="156" t="s">
        <v>56</v>
      </c>
      <c r="B133" s="157"/>
      <c r="C133" s="157"/>
      <c r="D133" s="61">
        <f>D126+D115</f>
        <v>1525</v>
      </c>
      <c r="E133" s="177">
        <f>E126+E115</f>
        <v>167</v>
      </c>
      <c r="F133" s="150">
        <f t="shared" ref="F133:T133" si="37">SUM(F115,F126,F131)</f>
        <v>49.986333333333334</v>
      </c>
      <c r="G133" s="149">
        <f t="shared" si="37"/>
        <v>57.945333333333323</v>
      </c>
      <c r="H133" s="149">
        <f t="shared" si="37"/>
        <v>213.89700000000005</v>
      </c>
      <c r="I133" s="149">
        <f t="shared" si="37"/>
        <v>1507.9013333333332</v>
      </c>
      <c r="J133" s="150">
        <f t="shared" si="37"/>
        <v>0.83866666666666667</v>
      </c>
      <c r="K133" s="150">
        <f t="shared" si="37"/>
        <v>0.84333333333333327</v>
      </c>
      <c r="L133" s="150">
        <f t="shared" si="37"/>
        <v>54.759</v>
      </c>
      <c r="M133" s="150">
        <f t="shared" si="37"/>
        <v>12.307416666666667</v>
      </c>
      <c r="N133" s="150">
        <f t="shared" si="37"/>
        <v>8.9186666666666667</v>
      </c>
      <c r="O133" s="150">
        <f t="shared" si="37"/>
        <v>709.83050000000003</v>
      </c>
      <c r="P133" s="149">
        <f t="shared" si="37"/>
        <v>796.40583333333325</v>
      </c>
      <c r="Q133" s="151">
        <f t="shared" si="37"/>
        <v>5.1644666666666668</v>
      </c>
      <c r="R133" s="151">
        <f t="shared" si="37"/>
        <v>0.12686666666666668</v>
      </c>
      <c r="S133" s="150">
        <f t="shared" si="37"/>
        <v>240.5745</v>
      </c>
      <c r="T133" s="150">
        <f t="shared" si="37"/>
        <v>11.6325</v>
      </c>
      <c r="U133" s="31"/>
      <c r="V133" s="74"/>
      <c r="W133" s="74"/>
      <c r="X133" s="74"/>
    </row>
    <row r="134" spans="1:24" s="1" customFormat="1" ht="11.25" customHeight="1">
      <c r="A134" s="207" t="s">
        <v>58</v>
      </c>
      <c r="B134" s="208"/>
      <c r="C134" s="208"/>
      <c r="D134" s="209"/>
      <c r="E134" s="127"/>
      <c r="F134" s="163">
        <v>90</v>
      </c>
      <c r="G134" s="161">
        <v>92</v>
      </c>
      <c r="H134" s="161">
        <v>383</v>
      </c>
      <c r="I134" s="161">
        <v>2720</v>
      </c>
      <c r="J134" s="163">
        <v>1.4</v>
      </c>
      <c r="K134" s="163">
        <v>1.6</v>
      </c>
      <c r="L134" s="162">
        <v>70</v>
      </c>
      <c r="M134" s="163">
        <v>0.9</v>
      </c>
      <c r="N134" s="162">
        <v>12</v>
      </c>
      <c r="O134" s="162">
        <v>1200</v>
      </c>
      <c r="P134" s="162">
        <v>1200</v>
      </c>
      <c r="Q134" s="162">
        <v>14</v>
      </c>
      <c r="R134" s="161">
        <v>0.1</v>
      </c>
      <c r="S134" s="162">
        <v>300</v>
      </c>
      <c r="T134" s="163">
        <v>18</v>
      </c>
      <c r="U134" s="77"/>
      <c r="V134" s="78"/>
      <c r="W134" s="78"/>
      <c r="X134" s="78"/>
    </row>
    <row r="135" spans="1:24" s="1" customFormat="1" ht="11.25" customHeight="1">
      <c r="A135" s="207" t="s">
        <v>57</v>
      </c>
      <c r="B135" s="208"/>
      <c r="C135" s="208"/>
      <c r="D135" s="209"/>
      <c r="E135" s="127"/>
      <c r="F135" s="51">
        <f t="shared" ref="F135:T135" si="38">F133/F134</f>
        <v>0.55540370370370373</v>
      </c>
      <c r="G135" s="104">
        <f t="shared" si="38"/>
        <v>0.62984057971014484</v>
      </c>
      <c r="H135" s="153">
        <f t="shared" si="38"/>
        <v>0.55847780678851189</v>
      </c>
      <c r="I135" s="153">
        <f t="shared" si="38"/>
        <v>0.55437549019607835</v>
      </c>
      <c r="J135" s="153">
        <f t="shared" si="38"/>
        <v>0.59904761904761905</v>
      </c>
      <c r="K135" s="153">
        <f t="shared" si="38"/>
        <v>0.52708333333333324</v>
      </c>
      <c r="L135" s="153">
        <f t="shared" si="38"/>
        <v>0.78227142857142862</v>
      </c>
      <c r="M135" s="33">
        <f t="shared" si="38"/>
        <v>13.674907407407407</v>
      </c>
      <c r="N135" s="153">
        <f t="shared" si="38"/>
        <v>0.74322222222222223</v>
      </c>
      <c r="O135" s="153">
        <f t="shared" si="38"/>
        <v>0.59152541666666669</v>
      </c>
      <c r="P135" s="153">
        <f t="shared" si="38"/>
        <v>0.66367152777777771</v>
      </c>
      <c r="Q135" s="153">
        <f t="shared" si="38"/>
        <v>0.36889047619047621</v>
      </c>
      <c r="R135" s="153">
        <f>R133/R134</f>
        <v>1.2686666666666668</v>
      </c>
      <c r="S135" s="153">
        <f t="shared" si="38"/>
        <v>0.80191500000000004</v>
      </c>
      <c r="T135" s="33">
        <f t="shared" si="38"/>
        <v>0.64624999999999999</v>
      </c>
      <c r="U135" s="34"/>
      <c r="V135" s="35"/>
      <c r="W135" s="35"/>
      <c r="X135" s="35"/>
    </row>
    <row r="136" spans="1:24" s="1" customFormat="1" ht="11.25" customHeight="1">
      <c r="A136" s="41"/>
      <c r="B136" s="41"/>
      <c r="C136" s="125"/>
      <c r="D136" s="125"/>
      <c r="E136" s="125"/>
      <c r="F136" s="59"/>
      <c r="G136" s="144"/>
      <c r="H136" s="2"/>
      <c r="I136" s="2"/>
      <c r="J136" s="144"/>
      <c r="K136" s="144"/>
      <c r="L136" s="144"/>
      <c r="M136" s="218" t="s">
        <v>59</v>
      </c>
      <c r="N136" s="218"/>
      <c r="O136" s="218"/>
      <c r="P136" s="218"/>
      <c r="Q136" s="218"/>
      <c r="R136" s="218"/>
      <c r="S136" s="218"/>
      <c r="T136" s="218"/>
      <c r="U136" s="10"/>
      <c r="V136" s="17"/>
      <c r="W136" s="17"/>
      <c r="X136" s="17"/>
    </row>
    <row r="137" spans="1:24" s="1" customFormat="1" ht="11.25" customHeight="1">
      <c r="A137" s="41"/>
      <c r="B137" s="41"/>
      <c r="C137" s="125"/>
      <c r="D137" s="125"/>
      <c r="E137" s="125"/>
      <c r="F137" s="59"/>
      <c r="G137" s="144"/>
      <c r="H137" s="2"/>
      <c r="I137" s="2"/>
      <c r="J137" s="144"/>
      <c r="K137" s="144"/>
      <c r="L137" s="144"/>
      <c r="M137" s="128"/>
      <c r="N137" s="128"/>
      <c r="O137" s="128"/>
      <c r="P137" s="128"/>
      <c r="Q137" s="128"/>
      <c r="R137" s="128"/>
      <c r="S137" s="128"/>
      <c r="T137" s="128"/>
      <c r="U137" s="10"/>
      <c r="V137" s="17"/>
      <c r="W137" s="17"/>
      <c r="X137" s="17"/>
    </row>
    <row r="138" spans="1:24" s="1" customFormat="1" ht="11.25" customHeight="1">
      <c r="A138" s="235" t="s">
        <v>36</v>
      </c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11"/>
      <c r="V138" s="23"/>
      <c r="W138" s="23"/>
      <c r="X138" s="23"/>
    </row>
    <row r="139" spans="1:24" s="1" customFormat="1" ht="11.25" customHeight="1">
      <c r="A139" s="43" t="s">
        <v>50</v>
      </c>
      <c r="B139" s="41"/>
      <c r="C139" s="41"/>
      <c r="D139" s="2"/>
      <c r="E139" s="2"/>
      <c r="F139" s="140"/>
      <c r="G139" s="238" t="s">
        <v>37</v>
      </c>
      <c r="H139" s="238"/>
      <c r="I139" s="238"/>
      <c r="J139" s="144"/>
      <c r="K139" s="144"/>
      <c r="L139" s="219" t="s">
        <v>1</v>
      </c>
      <c r="M139" s="219"/>
      <c r="N139" s="248"/>
      <c r="O139" s="248"/>
      <c r="P139" s="248"/>
      <c r="Q139" s="248"/>
      <c r="R139" s="144"/>
      <c r="S139" s="144"/>
      <c r="T139" s="144"/>
      <c r="U139" s="12"/>
      <c r="V139" s="18"/>
      <c r="W139" s="18"/>
      <c r="X139" s="18"/>
    </row>
    <row r="140" spans="1:24" s="1" customFormat="1" ht="11.25" customHeight="1">
      <c r="A140" s="41"/>
      <c r="B140" s="41"/>
      <c r="C140" s="41"/>
      <c r="D140" s="232" t="s">
        <v>2</v>
      </c>
      <c r="E140" s="232"/>
      <c r="F140" s="232"/>
      <c r="G140" s="5">
        <v>1</v>
      </c>
      <c r="H140" s="144"/>
      <c r="I140" s="2"/>
      <c r="J140" s="2"/>
      <c r="K140" s="2"/>
      <c r="L140" s="232" t="s">
        <v>3</v>
      </c>
      <c r="M140" s="232"/>
      <c r="N140" s="238" t="str">
        <f>N105</f>
        <v>7-11 лет;12 и старше</v>
      </c>
      <c r="O140" s="238"/>
      <c r="P140" s="238"/>
      <c r="Q140" s="238"/>
      <c r="R140" s="238"/>
      <c r="S140" s="238"/>
      <c r="T140" s="238"/>
      <c r="U140" s="13"/>
      <c r="V140" s="19"/>
      <c r="W140" s="19"/>
      <c r="X140" s="19"/>
    </row>
    <row r="141" spans="1:24" s="1" customFormat="1" ht="21.75" customHeight="1">
      <c r="A141" s="246" t="s">
        <v>4</v>
      </c>
      <c r="B141" s="239" t="s">
        <v>5</v>
      </c>
      <c r="C141" s="240"/>
      <c r="D141" s="246" t="s">
        <v>6</v>
      </c>
      <c r="E141" s="124"/>
      <c r="F141" s="228" t="s">
        <v>7</v>
      </c>
      <c r="G141" s="229"/>
      <c r="H141" s="230"/>
      <c r="I141" s="246" t="s">
        <v>8</v>
      </c>
      <c r="J141" s="228" t="s">
        <v>9</v>
      </c>
      <c r="K141" s="229"/>
      <c r="L141" s="229"/>
      <c r="M141" s="229"/>
      <c r="N141" s="230"/>
      <c r="O141" s="228" t="s">
        <v>10</v>
      </c>
      <c r="P141" s="229"/>
      <c r="Q141" s="229"/>
      <c r="R141" s="229"/>
      <c r="S141" s="229"/>
      <c r="T141" s="230"/>
      <c r="U141" s="7"/>
      <c r="V141" s="20"/>
      <c r="W141" s="20"/>
      <c r="X141" s="20"/>
    </row>
    <row r="142" spans="1:24" s="1" customFormat="1" ht="21" customHeight="1">
      <c r="A142" s="247"/>
      <c r="B142" s="241"/>
      <c r="C142" s="242"/>
      <c r="D142" s="247"/>
      <c r="E142" s="123"/>
      <c r="F142" s="57" t="s">
        <v>11</v>
      </c>
      <c r="G142" s="129" t="s">
        <v>12</v>
      </c>
      <c r="H142" s="129" t="s">
        <v>13</v>
      </c>
      <c r="I142" s="247"/>
      <c r="J142" s="129" t="s">
        <v>14</v>
      </c>
      <c r="K142" s="129" t="s">
        <v>52</v>
      </c>
      <c r="L142" s="129" t="s">
        <v>15</v>
      </c>
      <c r="M142" s="129" t="s">
        <v>16</v>
      </c>
      <c r="N142" s="129" t="s">
        <v>17</v>
      </c>
      <c r="O142" s="129" t="s">
        <v>18</v>
      </c>
      <c r="P142" s="129" t="s">
        <v>19</v>
      </c>
      <c r="Q142" s="129" t="s">
        <v>53</v>
      </c>
      <c r="R142" s="129" t="s">
        <v>54</v>
      </c>
      <c r="S142" s="129" t="s">
        <v>20</v>
      </c>
      <c r="T142" s="129" t="s">
        <v>21</v>
      </c>
      <c r="U142" s="7"/>
      <c r="V142" s="20"/>
      <c r="W142" s="20"/>
      <c r="X142" s="20"/>
    </row>
    <row r="143" spans="1:24" s="1" customFormat="1" ht="11.25" customHeight="1">
      <c r="A143" s="172">
        <v>1</v>
      </c>
      <c r="B143" s="226">
        <v>2</v>
      </c>
      <c r="C143" s="227"/>
      <c r="D143" s="28">
        <v>3</v>
      </c>
      <c r="E143" s="28"/>
      <c r="F143" s="58">
        <v>4</v>
      </c>
      <c r="G143" s="28">
        <v>5</v>
      </c>
      <c r="H143" s="28">
        <v>6</v>
      </c>
      <c r="I143" s="28">
        <v>7</v>
      </c>
      <c r="J143" s="28">
        <v>8</v>
      </c>
      <c r="K143" s="28">
        <v>9</v>
      </c>
      <c r="L143" s="28">
        <v>10</v>
      </c>
      <c r="M143" s="28">
        <v>11</v>
      </c>
      <c r="N143" s="28">
        <v>12</v>
      </c>
      <c r="O143" s="28">
        <v>13</v>
      </c>
      <c r="P143" s="28">
        <v>14</v>
      </c>
      <c r="Q143" s="28">
        <v>15</v>
      </c>
      <c r="R143" s="28">
        <v>16</v>
      </c>
      <c r="S143" s="28">
        <v>17</v>
      </c>
      <c r="T143" s="28">
        <v>18</v>
      </c>
      <c r="U143" s="8"/>
      <c r="V143" s="21"/>
      <c r="W143" s="21"/>
      <c r="X143" s="21"/>
    </row>
    <row r="144" spans="1:24" s="1" customFormat="1" ht="11.25" customHeight="1">
      <c r="A144" s="215" t="s">
        <v>111</v>
      </c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7"/>
      <c r="U144" s="9"/>
      <c r="V144" s="22"/>
      <c r="W144" s="22"/>
      <c r="X144" s="22"/>
    </row>
    <row r="145" spans="1:25" s="116" customFormat="1" ht="20.25" customHeight="1">
      <c r="A145" s="159">
        <v>71</v>
      </c>
      <c r="B145" s="201" t="s">
        <v>102</v>
      </c>
      <c r="C145" s="202"/>
      <c r="D145" s="168">
        <v>40</v>
      </c>
      <c r="E145" s="168">
        <v>9.9499999999999993</v>
      </c>
      <c r="F145" s="176">
        <v>1.73</v>
      </c>
      <c r="G145" s="176">
        <v>3.71</v>
      </c>
      <c r="H145" s="176">
        <v>4.82</v>
      </c>
      <c r="I145" s="176">
        <v>59.58</v>
      </c>
      <c r="J145" s="169">
        <v>8.9999999999999993E-3</v>
      </c>
      <c r="K145" s="176">
        <v>0.01</v>
      </c>
      <c r="L145" s="170">
        <v>3</v>
      </c>
      <c r="M145" s="169">
        <v>3.0000000000000001E-3</v>
      </c>
      <c r="N145" s="168">
        <v>0.03</v>
      </c>
      <c r="O145" s="176">
        <v>6.9</v>
      </c>
      <c r="P145" s="176">
        <v>12.6</v>
      </c>
      <c r="Q145" s="169">
        <v>6.4000000000000001E-2</v>
      </c>
      <c r="R145" s="169">
        <v>1E-3</v>
      </c>
      <c r="S145" s="176">
        <v>4.2</v>
      </c>
      <c r="T145" s="176">
        <v>0.18</v>
      </c>
      <c r="U145" s="117"/>
      <c r="V145" s="118"/>
      <c r="W145" s="118"/>
      <c r="X145" s="118"/>
    </row>
    <row r="146" spans="1:25" s="180" customFormat="1" ht="22.5" customHeight="1">
      <c r="A146" s="69">
        <v>591</v>
      </c>
      <c r="B146" s="224" t="s">
        <v>101</v>
      </c>
      <c r="C146" s="225"/>
      <c r="D146" s="70">
        <v>100</v>
      </c>
      <c r="E146" s="67">
        <v>47.99</v>
      </c>
      <c r="F146" s="67">
        <v>5.86</v>
      </c>
      <c r="G146" s="67">
        <v>16.309999999999999</v>
      </c>
      <c r="H146" s="67">
        <v>3.07</v>
      </c>
      <c r="I146" s="67">
        <v>182.51</v>
      </c>
      <c r="J146" s="67">
        <v>0.14000000000000001</v>
      </c>
      <c r="K146" s="67">
        <v>0.05</v>
      </c>
      <c r="L146" s="67">
        <v>0.09</v>
      </c>
      <c r="M146" s="67">
        <v>0</v>
      </c>
      <c r="N146" s="67">
        <v>0</v>
      </c>
      <c r="O146" s="67">
        <v>9.5399999999999991</v>
      </c>
      <c r="P146" s="67">
        <v>63.38</v>
      </c>
      <c r="Q146" s="67">
        <v>1.1200000000000001</v>
      </c>
      <c r="R146" s="67">
        <v>2.5499999999999998</v>
      </c>
      <c r="S146" s="67">
        <v>11.3</v>
      </c>
      <c r="T146" s="67">
        <v>0.75</v>
      </c>
      <c r="U146" s="178"/>
      <c r="V146" s="179"/>
      <c r="W146" s="179"/>
      <c r="X146" s="179"/>
    </row>
    <row r="147" spans="1:25" s="180" customFormat="1" ht="24" customHeight="1">
      <c r="A147" s="172">
        <v>304</v>
      </c>
      <c r="B147" s="203" t="s">
        <v>82</v>
      </c>
      <c r="C147" s="203"/>
      <c r="D147" s="162">
        <v>180</v>
      </c>
      <c r="E147" s="163">
        <v>8.73</v>
      </c>
      <c r="F147" s="163">
        <v>4.4400000000000004</v>
      </c>
      <c r="G147" s="163">
        <v>6.44</v>
      </c>
      <c r="H147" s="163">
        <v>44.01</v>
      </c>
      <c r="I147" s="163">
        <v>251.82</v>
      </c>
      <c r="J147" s="163">
        <v>3.5999999999999997E-2</v>
      </c>
      <c r="K147" s="160">
        <v>2.4E-2</v>
      </c>
      <c r="L147" s="163">
        <v>0</v>
      </c>
      <c r="M147" s="160">
        <v>4.8000000000000001E-2</v>
      </c>
      <c r="N147" s="161">
        <v>0</v>
      </c>
      <c r="O147" s="161">
        <v>17.93</v>
      </c>
      <c r="P147" s="162">
        <v>95.25</v>
      </c>
      <c r="Q147" s="143">
        <v>0</v>
      </c>
      <c r="R147" s="161">
        <v>1E-3</v>
      </c>
      <c r="S147" s="163">
        <v>33.47</v>
      </c>
      <c r="T147" s="165">
        <v>0.70799999999999996</v>
      </c>
      <c r="U147" s="179"/>
      <c r="V147" s="179"/>
      <c r="W147" s="179"/>
      <c r="X147" s="179"/>
    </row>
    <row r="148" spans="1:25" s="116" customFormat="1" ht="11.25" customHeight="1">
      <c r="A148" s="167" t="s">
        <v>60</v>
      </c>
      <c r="B148" s="201" t="s">
        <v>49</v>
      </c>
      <c r="C148" s="202"/>
      <c r="D148" s="162">
        <v>30</v>
      </c>
      <c r="E148" s="163">
        <v>2.52</v>
      </c>
      <c r="F148" s="163">
        <f>1.52*D148/30</f>
        <v>1.52</v>
      </c>
      <c r="G148" s="164">
        <f>0.16*D148/30</f>
        <v>0.16</v>
      </c>
      <c r="H148" s="164">
        <f>9.84*D148/30</f>
        <v>9.84</v>
      </c>
      <c r="I148" s="164">
        <f>F148*4+G148*9+H148*4</f>
        <v>46.879999999999995</v>
      </c>
      <c r="J148" s="164">
        <f>0.02*D148/30</f>
        <v>0.02</v>
      </c>
      <c r="K148" s="164">
        <f>0.01*D148/30</f>
        <v>0.01</v>
      </c>
      <c r="L148" s="164">
        <f>0.44*D148/30</f>
        <v>0.44</v>
      </c>
      <c r="M148" s="164">
        <v>0</v>
      </c>
      <c r="N148" s="164">
        <f>0.7*D148/30</f>
        <v>0.7</v>
      </c>
      <c r="O148" s="164">
        <f>4*D148/30</f>
        <v>4</v>
      </c>
      <c r="P148" s="164">
        <f>13*D148/30</f>
        <v>13</v>
      </c>
      <c r="Q148" s="164">
        <f>0.008*D148/30</f>
        <v>8.0000000000000002E-3</v>
      </c>
      <c r="R148" s="164">
        <f>0.001*D148/30</f>
        <v>1E-3</v>
      </c>
      <c r="S148" s="164">
        <v>0</v>
      </c>
      <c r="T148" s="164">
        <f>0.22*D148/30</f>
        <v>0.22</v>
      </c>
      <c r="U148" s="119"/>
      <c r="V148" s="120"/>
      <c r="W148" s="120"/>
      <c r="X148" s="120"/>
    </row>
    <row r="149" spans="1:25" s="116" customFormat="1" ht="12.75" customHeight="1">
      <c r="A149" s="172">
        <v>377</v>
      </c>
      <c r="B149" s="203" t="s">
        <v>43</v>
      </c>
      <c r="C149" s="203"/>
      <c r="D149" s="162">
        <v>200</v>
      </c>
      <c r="E149" s="163">
        <v>3.81</v>
      </c>
      <c r="F149" s="163">
        <v>0.26</v>
      </c>
      <c r="G149" s="163">
        <v>0.06</v>
      </c>
      <c r="H149" s="163">
        <v>15.22</v>
      </c>
      <c r="I149" s="163">
        <f>F149*4+G149*9+H149*4</f>
        <v>62.46</v>
      </c>
      <c r="J149" s="163"/>
      <c r="K149" s="163">
        <v>0.01</v>
      </c>
      <c r="L149" s="163">
        <v>2.9</v>
      </c>
      <c r="M149" s="160">
        <v>0</v>
      </c>
      <c r="N149" s="163">
        <v>0.06</v>
      </c>
      <c r="O149" s="163">
        <v>8.0500000000000007</v>
      </c>
      <c r="P149" s="163">
        <v>9.7799999999999994</v>
      </c>
      <c r="Q149" s="163">
        <v>1.7000000000000001E-2</v>
      </c>
      <c r="R149" s="164">
        <v>0</v>
      </c>
      <c r="S149" s="163">
        <v>5.24</v>
      </c>
      <c r="T149" s="163">
        <v>0.87</v>
      </c>
      <c r="U149" s="119"/>
      <c r="V149" s="120"/>
      <c r="W149" s="120"/>
      <c r="X149" s="120"/>
    </row>
    <row r="150" spans="1:25" s="3" customFormat="1" ht="11.25" customHeight="1">
      <c r="A150" s="156" t="s">
        <v>25</v>
      </c>
      <c r="B150" s="157"/>
      <c r="C150" s="157"/>
      <c r="D150" s="158">
        <f t="shared" ref="D150:T150" si="39">SUM(D145:D149)</f>
        <v>550</v>
      </c>
      <c r="E150" s="175">
        <f t="shared" si="39"/>
        <v>73</v>
      </c>
      <c r="F150" s="150">
        <f t="shared" si="39"/>
        <v>13.81</v>
      </c>
      <c r="G150" s="150">
        <f t="shared" si="39"/>
        <v>26.68</v>
      </c>
      <c r="H150" s="150">
        <f t="shared" si="39"/>
        <v>76.959999999999994</v>
      </c>
      <c r="I150" s="150">
        <f t="shared" si="39"/>
        <v>603.25</v>
      </c>
      <c r="J150" s="150">
        <f t="shared" si="39"/>
        <v>0.20500000000000002</v>
      </c>
      <c r="K150" s="150">
        <f t="shared" si="39"/>
        <v>0.104</v>
      </c>
      <c r="L150" s="150">
        <f t="shared" si="39"/>
        <v>6.43</v>
      </c>
      <c r="M150" s="150">
        <f t="shared" si="39"/>
        <v>5.1000000000000004E-2</v>
      </c>
      <c r="N150" s="150">
        <f t="shared" si="39"/>
        <v>0.79</v>
      </c>
      <c r="O150" s="150">
        <f t="shared" si="39"/>
        <v>46.42</v>
      </c>
      <c r="P150" s="150">
        <f t="shared" si="39"/>
        <v>194.01000000000002</v>
      </c>
      <c r="Q150" s="150">
        <f t="shared" si="39"/>
        <v>1.2090000000000001</v>
      </c>
      <c r="R150" s="150">
        <f t="shared" si="39"/>
        <v>2.5529999999999995</v>
      </c>
      <c r="S150" s="150">
        <f t="shared" si="39"/>
        <v>54.21</v>
      </c>
      <c r="T150" s="150">
        <f t="shared" si="39"/>
        <v>2.7279999999999998</v>
      </c>
      <c r="U150" s="29"/>
      <c r="V150" s="30"/>
      <c r="W150" s="30"/>
      <c r="X150" s="30"/>
    </row>
    <row r="151" spans="1:25" s="3" customFormat="1" ht="11.25" customHeight="1">
      <c r="A151" s="210" t="s">
        <v>57</v>
      </c>
      <c r="B151" s="211"/>
      <c r="C151" s="211"/>
      <c r="D151" s="212"/>
      <c r="E151" s="173"/>
      <c r="F151" s="171">
        <f t="shared" ref="F151:T151" si="40">F150/F168</f>
        <v>0.15344444444444444</v>
      </c>
      <c r="G151" s="51">
        <f t="shared" si="40"/>
        <v>0.28999999999999998</v>
      </c>
      <c r="H151" s="51">
        <f t="shared" si="40"/>
        <v>0.20093994778067883</v>
      </c>
      <c r="I151" s="51">
        <f t="shared" si="40"/>
        <v>0.22178308823529411</v>
      </c>
      <c r="J151" s="51">
        <f t="shared" si="40"/>
        <v>0.14642857142857144</v>
      </c>
      <c r="K151" s="51">
        <f t="shared" si="40"/>
        <v>6.4999999999999988E-2</v>
      </c>
      <c r="L151" s="51">
        <f t="shared" si="40"/>
        <v>9.1857142857142859E-2</v>
      </c>
      <c r="M151" s="51">
        <f t="shared" si="40"/>
        <v>5.6666666666666671E-2</v>
      </c>
      <c r="N151" s="51">
        <f t="shared" si="40"/>
        <v>6.5833333333333341E-2</v>
      </c>
      <c r="O151" s="51">
        <f t="shared" si="40"/>
        <v>3.8683333333333333E-2</v>
      </c>
      <c r="P151" s="51">
        <f t="shared" si="40"/>
        <v>0.16167500000000001</v>
      </c>
      <c r="Q151" s="51">
        <f t="shared" si="40"/>
        <v>8.6357142857142868E-2</v>
      </c>
      <c r="R151" s="51">
        <f t="shared" si="40"/>
        <v>25.529999999999994</v>
      </c>
      <c r="S151" s="51">
        <f t="shared" si="40"/>
        <v>0.1807</v>
      </c>
      <c r="T151" s="153">
        <f t="shared" si="40"/>
        <v>0.15155555555555555</v>
      </c>
      <c r="U151" s="36"/>
      <c r="V151" s="30"/>
      <c r="W151" s="30"/>
      <c r="X151" s="30"/>
    </row>
    <row r="152" spans="1:25" s="3" customFormat="1" ht="11.25" customHeight="1">
      <c r="A152" s="215" t="s">
        <v>26</v>
      </c>
      <c r="B152" s="216"/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7"/>
      <c r="U152" s="9"/>
      <c r="V152" s="22"/>
      <c r="W152" s="22"/>
      <c r="X152" s="22"/>
    </row>
    <row r="153" spans="1:25" s="180" customFormat="1" ht="20.25" customHeight="1">
      <c r="A153" s="172">
        <v>24</v>
      </c>
      <c r="B153" s="204" t="s">
        <v>105</v>
      </c>
      <c r="C153" s="205"/>
      <c r="D153" s="162">
        <v>60</v>
      </c>
      <c r="E153" s="163">
        <v>15.27</v>
      </c>
      <c r="F153" s="163">
        <v>0.3</v>
      </c>
      <c r="G153" s="163">
        <v>2</v>
      </c>
      <c r="H153" s="163">
        <v>1.6</v>
      </c>
      <c r="I153" s="163">
        <v>25.6</v>
      </c>
      <c r="J153" s="163">
        <v>0.06</v>
      </c>
      <c r="K153" s="163">
        <v>0.04</v>
      </c>
      <c r="L153" s="163">
        <v>12.4</v>
      </c>
      <c r="M153" s="164">
        <v>1E-3</v>
      </c>
      <c r="N153" s="163">
        <v>1.5</v>
      </c>
      <c r="O153" s="163">
        <v>28.2</v>
      </c>
      <c r="P153" s="163">
        <v>32.299999999999997</v>
      </c>
      <c r="Q153" s="163">
        <v>0.3</v>
      </c>
      <c r="R153" s="164">
        <v>2E-3</v>
      </c>
      <c r="S153" s="163">
        <v>18.600000000000001</v>
      </c>
      <c r="T153" s="163">
        <v>0.5</v>
      </c>
      <c r="U153" s="178"/>
      <c r="V153" s="179"/>
      <c r="W153" s="179"/>
      <c r="X153" s="179"/>
      <c r="Y153" s="181"/>
    </row>
    <row r="154" spans="1:25" s="48" customFormat="1" ht="21.75" customHeight="1">
      <c r="A154" s="172">
        <v>106</v>
      </c>
      <c r="B154" s="204" t="s">
        <v>83</v>
      </c>
      <c r="C154" s="205"/>
      <c r="D154" s="160">
        <v>250</v>
      </c>
      <c r="E154" s="160">
        <v>12.12</v>
      </c>
      <c r="F154" s="163">
        <v>8.61</v>
      </c>
      <c r="G154" s="163">
        <v>8.4</v>
      </c>
      <c r="H154" s="163">
        <v>14.34</v>
      </c>
      <c r="I154" s="163">
        <v>167.25</v>
      </c>
      <c r="J154" s="163">
        <v>0.1</v>
      </c>
      <c r="K154" s="163">
        <v>0</v>
      </c>
      <c r="L154" s="163">
        <v>9.11</v>
      </c>
      <c r="M154" s="163">
        <v>15</v>
      </c>
      <c r="N154" s="164">
        <v>0</v>
      </c>
      <c r="O154" s="163">
        <v>45.3</v>
      </c>
      <c r="P154" s="163">
        <v>176.53</v>
      </c>
      <c r="Q154" s="163">
        <v>0</v>
      </c>
      <c r="R154" s="163">
        <v>0</v>
      </c>
      <c r="S154" s="163">
        <v>47.35</v>
      </c>
      <c r="T154" s="163">
        <v>1.26</v>
      </c>
      <c r="U154" s="49"/>
      <c r="V154" s="50"/>
      <c r="W154" s="50"/>
      <c r="X154" s="50"/>
    </row>
    <row r="155" spans="1:25" s="73" customFormat="1" ht="23.25" customHeight="1">
      <c r="A155" s="172">
        <v>268</v>
      </c>
      <c r="B155" s="201" t="s">
        <v>74</v>
      </c>
      <c r="C155" s="202"/>
      <c r="D155" s="162">
        <v>90</v>
      </c>
      <c r="E155" s="163">
        <v>42.21</v>
      </c>
      <c r="F155" s="163">
        <v>15.143000000000001</v>
      </c>
      <c r="G155" s="161">
        <v>12.21</v>
      </c>
      <c r="H155" s="161">
        <v>6.008</v>
      </c>
      <c r="I155" s="163">
        <v>194.56</v>
      </c>
      <c r="J155" s="163">
        <v>0.79</v>
      </c>
      <c r="K155" s="163">
        <v>0.25900000000000001</v>
      </c>
      <c r="L155" s="163">
        <v>0.84399999999999997</v>
      </c>
      <c r="M155" s="160">
        <v>0.22500000000000001</v>
      </c>
      <c r="N155" s="164">
        <v>2.3E-2</v>
      </c>
      <c r="O155" s="163">
        <v>82.957999999999998</v>
      </c>
      <c r="P155" s="161">
        <v>207.923</v>
      </c>
      <c r="Q155" s="163">
        <v>2.5649999999999999</v>
      </c>
      <c r="R155" s="164">
        <v>3.4000000000000002E-2</v>
      </c>
      <c r="S155" s="163">
        <v>33.590000000000003</v>
      </c>
      <c r="T155" s="163">
        <v>2.17</v>
      </c>
      <c r="U155" s="112"/>
      <c r="V155" s="113"/>
      <c r="W155" s="113"/>
      <c r="X155" s="113"/>
      <c r="Y155" s="107"/>
    </row>
    <row r="156" spans="1:25" s="180" customFormat="1" ht="12.75" customHeight="1">
      <c r="A156" s="167">
        <v>171</v>
      </c>
      <c r="B156" s="201" t="s">
        <v>22</v>
      </c>
      <c r="C156" s="202"/>
      <c r="D156" s="162">
        <v>180</v>
      </c>
      <c r="E156" s="163">
        <v>14.6</v>
      </c>
      <c r="F156" s="163">
        <f>6.57*D156/150</f>
        <v>7.8840000000000012</v>
      </c>
      <c r="G156" s="163">
        <f>4.19*D156/150</f>
        <v>5.0280000000000005</v>
      </c>
      <c r="H156" s="163">
        <f>32.32*D156/150</f>
        <v>38.783999999999999</v>
      </c>
      <c r="I156" s="163">
        <f>F156*4+G156*9+H156*4</f>
        <v>231.92400000000001</v>
      </c>
      <c r="J156" s="164">
        <f>0.06*D156/150</f>
        <v>7.1999999999999995E-2</v>
      </c>
      <c r="K156" s="164">
        <f>0.03*D156/150</f>
        <v>3.5999999999999997E-2</v>
      </c>
      <c r="L156" s="160">
        <v>0</v>
      </c>
      <c r="M156" s="164">
        <f>0.03*D156/150</f>
        <v>3.5999999999999997E-2</v>
      </c>
      <c r="N156" s="160">
        <f>2.55*D156/150</f>
        <v>3.0599999999999996</v>
      </c>
      <c r="O156" s="163">
        <f>18.12*D156/150</f>
        <v>21.744000000000003</v>
      </c>
      <c r="P156" s="163">
        <f>157.03*D156/150</f>
        <v>188.43600000000001</v>
      </c>
      <c r="Q156" s="164">
        <f>0.8874*D156/150</f>
        <v>1.06488</v>
      </c>
      <c r="R156" s="164">
        <f>0.00135*D156/150</f>
        <v>1.6200000000000001E-3</v>
      </c>
      <c r="S156" s="163">
        <f>104.45*D156/150</f>
        <v>125.34</v>
      </c>
      <c r="T156" s="163">
        <f>3.55*D156/150</f>
        <v>4.26</v>
      </c>
      <c r="U156" s="178"/>
      <c r="V156" s="179"/>
      <c r="W156" s="179"/>
      <c r="X156" s="179"/>
    </row>
    <row r="157" spans="1:25" s="184" customFormat="1">
      <c r="A157" s="90">
        <v>699</v>
      </c>
      <c r="B157" s="250" t="s">
        <v>97</v>
      </c>
      <c r="C157" s="214"/>
      <c r="D157" s="80">
        <v>200</v>
      </c>
      <c r="E157" s="81">
        <v>5.2</v>
      </c>
      <c r="F157" s="81">
        <v>0.1</v>
      </c>
      <c r="G157" s="82">
        <v>0</v>
      </c>
      <c r="H157" s="83">
        <v>15.7</v>
      </c>
      <c r="I157" s="81">
        <v>63.2</v>
      </c>
      <c r="J157" s="82">
        <v>1.7999999999999999E-2</v>
      </c>
      <c r="K157" s="82">
        <v>1.2E-2</v>
      </c>
      <c r="L157" s="83">
        <v>8</v>
      </c>
      <c r="M157" s="82">
        <v>0</v>
      </c>
      <c r="N157" s="81">
        <v>0.2</v>
      </c>
      <c r="O157" s="81">
        <v>10.8</v>
      </c>
      <c r="P157" s="81">
        <v>1.7</v>
      </c>
      <c r="Q157" s="81">
        <v>0</v>
      </c>
      <c r="R157" s="84">
        <v>0</v>
      </c>
      <c r="S157" s="81">
        <v>5.8</v>
      </c>
      <c r="T157" s="81">
        <v>1.6</v>
      </c>
    </row>
    <row r="158" spans="1:25" s="180" customFormat="1" ht="11.25" customHeight="1">
      <c r="A158" s="52" t="s">
        <v>60</v>
      </c>
      <c r="B158" s="201" t="s">
        <v>44</v>
      </c>
      <c r="C158" s="202"/>
      <c r="D158" s="162">
        <v>40</v>
      </c>
      <c r="E158" s="163">
        <v>2.08</v>
      </c>
      <c r="F158" s="163">
        <f>2.64*D158/40</f>
        <v>2.64</v>
      </c>
      <c r="G158" s="163">
        <f>0.48*D158/40</f>
        <v>0.48</v>
      </c>
      <c r="H158" s="163">
        <f>13.68*D158/40</f>
        <v>13.680000000000001</v>
      </c>
      <c r="I158" s="161">
        <f>F158*4+G158*9+H158*4</f>
        <v>69.600000000000009</v>
      </c>
      <c r="J158" s="160">
        <f>0.08*D158/40</f>
        <v>0.08</v>
      </c>
      <c r="K158" s="163">
        <f>0.04*D158/40</f>
        <v>0.04</v>
      </c>
      <c r="L158" s="162">
        <v>0</v>
      </c>
      <c r="M158" s="162">
        <v>0</v>
      </c>
      <c r="N158" s="163">
        <f>2.4*D158/40</f>
        <v>2.4</v>
      </c>
      <c r="O158" s="163">
        <f>14*D158/40</f>
        <v>14</v>
      </c>
      <c r="P158" s="163">
        <f>63.2*D158/40</f>
        <v>63.2</v>
      </c>
      <c r="Q158" s="163">
        <f>1.2*D158/40</f>
        <v>1.2</v>
      </c>
      <c r="R158" s="164">
        <f>0.001*D158/40</f>
        <v>1E-3</v>
      </c>
      <c r="S158" s="163">
        <f>9.4*D158/40</f>
        <v>9.4</v>
      </c>
      <c r="T158" s="160">
        <f>0.78*D158/40</f>
        <v>0.78</v>
      </c>
      <c r="U158" s="188"/>
      <c r="V158" s="189"/>
      <c r="W158" s="189"/>
      <c r="X158" s="189"/>
    </row>
    <row r="159" spans="1:25" s="3" customFormat="1" ht="11.25" customHeight="1">
      <c r="A159" s="167" t="s">
        <v>60</v>
      </c>
      <c r="B159" s="201" t="s">
        <v>49</v>
      </c>
      <c r="C159" s="202"/>
      <c r="D159" s="162">
        <v>30</v>
      </c>
      <c r="E159" s="163">
        <v>2.52</v>
      </c>
      <c r="F159" s="163">
        <f>1.52*D159/30</f>
        <v>1.52</v>
      </c>
      <c r="G159" s="164">
        <f>0.16*D159/30</f>
        <v>0.16</v>
      </c>
      <c r="H159" s="164">
        <f>9.84*D159/30</f>
        <v>9.84</v>
      </c>
      <c r="I159" s="164">
        <f>F159*4+G159*9+H159*4</f>
        <v>46.879999999999995</v>
      </c>
      <c r="J159" s="164">
        <f>0.02*D159/30</f>
        <v>0.02</v>
      </c>
      <c r="K159" s="164">
        <f>0.01*D159/30</f>
        <v>0.01</v>
      </c>
      <c r="L159" s="164">
        <f>0.44*D159/30</f>
        <v>0.44</v>
      </c>
      <c r="M159" s="164">
        <v>0</v>
      </c>
      <c r="N159" s="164">
        <f>0.7*D159/30</f>
        <v>0.7</v>
      </c>
      <c r="O159" s="164">
        <f>4*D159/30</f>
        <v>4</v>
      </c>
      <c r="P159" s="164">
        <f>13*D159/30</f>
        <v>13</v>
      </c>
      <c r="Q159" s="164">
        <f>0.008*D159/30</f>
        <v>8.0000000000000002E-3</v>
      </c>
      <c r="R159" s="164">
        <f>0.001*D159/30</f>
        <v>1E-3</v>
      </c>
      <c r="S159" s="164">
        <v>0</v>
      </c>
      <c r="T159" s="164">
        <f>0.22*D159/30</f>
        <v>0.22</v>
      </c>
      <c r="U159" s="49"/>
      <c r="V159" s="50"/>
      <c r="W159" s="50"/>
      <c r="X159" s="50"/>
    </row>
    <row r="160" spans="1:25" s="3" customFormat="1" ht="11.25" customHeight="1">
      <c r="A160" s="156" t="s">
        <v>27</v>
      </c>
      <c r="B160" s="157"/>
      <c r="C160" s="157"/>
      <c r="D160" s="158">
        <f t="shared" ref="D160:I160" si="41">SUM(D153:D159)</f>
        <v>850</v>
      </c>
      <c r="E160" s="175">
        <f t="shared" si="41"/>
        <v>93.999999999999986</v>
      </c>
      <c r="F160" s="150">
        <f t="shared" si="41"/>
        <v>36.197000000000003</v>
      </c>
      <c r="G160" s="149">
        <f t="shared" si="41"/>
        <v>28.277999999999999</v>
      </c>
      <c r="H160" s="149">
        <f t="shared" si="41"/>
        <v>99.952000000000012</v>
      </c>
      <c r="I160" s="149">
        <f t="shared" si="41"/>
        <v>799.01400000000001</v>
      </c>
      <c r="J160" s="150">
        <f t="shared" ref="J160:T160" si="42">SUM(J153:J159)</f>
        <v>1.1400000000000001</v>
      </c>
      <c r="K160" s="150">
        <f t="shared" si="42"/>
        <v>0.39699999999999996</v>
      </c>
      <c r="L160" s="149">
        <f t="shared" si="42"/>
        <v>30.794</v>
      </c>
      <c r="M160" s="150">
        <f t="shared" si="42"/>
        <v>15.261999999999999</v>
      </c>
      <c r="N160" s="151">
        <f t="shared" si="42"/>
        <v>7.883</v>
      </c>
      <c r="O160" s="150">
        <f t="shared" si="42"/>
        <v>207.00200000000001</v>
      </c>
      <c r="P160" s="149">
        <f t="shared" si="42"/>
        <v>683.08900000000006</v>
      </c>
      <c r="Q160" s="149">
        <f t="shared" si="42"/>
        <v>5.13788</v>
      </c>
      <c r="R160" s="150">
        <f t="shared" si="42"/>
        <v>3.9620000000000009E-2</v>
      </c>
      <c r="S160" s="149">
        <f t="shared" si="42"/>
        <v>240.08</v>
      </c>
      <c r="T160" s="150">
        <f t="shared" si="42"/>
        <v>10.79</v>
      </c>
      <c r="U160" s="29"/>
      <c r="V160" s="30"/>
      <c r="W160" s="30"/>
      <c r="X160" s="30"/>
    </row>
    <row r="161" spans="1:24" s="3" customFormat="1" ht="11.25" customHeight="1">
      <c r="A161" s="210" t="s">
        <v>57</v>
      </c>
      <c r="B161" s="211"/>
      <c r="C161" s="211"/>
      <c r="D161" s="212"/>
      <c r="E161" s="173"/>
      <c r="F161" s="171">
        <f t="shared" ref="F161:T161" si="43">F160/F168</f>
        <v>0.40218888888888893</v>
      </c>
      <c r="G161" s="51">
        <f t="shared" si="43"/>
        <v>0.30736956521739128</v>
      </c>
      <c r="H161" s="51">
        <f t="shared" si="43"/>
        <v>0.26097127937336817</v>
      </c>
      <c r="I161" s="51">
        <f t="shared" si="43"/>
        <v>0.29375514705882355</v>
      </c>
      <c r="J161" s="51">
        <f t="shared" si="43"/>
        <v>0.81428571428571439</v>
      </c>
      <c r="K161" s="51">
        <f t="shared" si="43"/>
        <v>0.24812499999999996</v>
      </c>
      <c r="L161" s="51">
        <f t="shared" si="43"/>
        <v>0.4399142857142857</v>
      </c>
      <c r="M161" s="51">
        <f t="shared" si="43"/>
        <v>16.957777777777775</v>
      </c>
      <c r="N161" s="51">
        <f t="shared" si="43"/>
        <v>0.6569166666666667</v>
      </c>
      <c r="O161" s="51">
        <f t="shared" si="43"/>
        <v>0.17250166666666666</v>
      </c>
      <c r="P161" s="51">
        <f t="shared" si="43"/>
        <v>0.56924083333333342</v>
      </c>
      <c r="Q161" s="51">
        <f t="shared" si="43"/>
        <v>0.36699142857142858</v>
      </c>
      <c r="R161" s="51">
        <f t="shared" si="43"/>
        <v>0.39620000000000005</v>
      </c>
      <c r="S161" s="51">
        <f t="shared" si="43"/>
        <v>0.80026666666666668</v>
      </c>
      <c r="T161" s="153">
        <f t="shared" si="43"/>
        <v>0.59944444444444445</v>
      </c>
      <c r="U161" s="36"/>
      <c r="V161" s="30"/>
      <c r="W161" s="30"/>
      <c r="X161" s="30"/>
    </row>
    <row r="162" spans="1:24" s="3" customFormat="1" ht="11.25" customHeight="1">
      <c r="A162" s="215" t="s">
        <v>28</v>
      </c>
      <c r="B162" s="216"/>
      <c r="C162" s="21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7"/>
      <c r="U162" s="9"/>
      <c r="V162" s="22"/>
      <c r="W162" s="22"/>
      <c r="X162" s="22"/>
    </row>
    <row r="163" spans="1:24" s="68" customFormat="1" ht="12" customHeight="1">
      <c r="A163" s="194"/>
      <c r="B163" s="231"/>
      <c r="C163" s="231"/>
      <c r="D163" s="191"/>
      <c r="E163" s="192"/>
      <c r="F163" s="192"/>
      <c r="G163" s="197"/>
      <c r="H163" s="197"/>
      <c r="I163" s="192"/>
      <c r="J163" s="192"/>
      <c r="K163" s="192"/>
      <c r="L163" s="192"/>
      <c r="M163" s="196"/>
      <c r="N163" s="197"/>
      <c r="O163" s="192"/>
      <c r="P163" s="192"/>
      <c r="Q163" s="192"/>
      <c r="R163" s="195"/>
      <c r="S163" s="192"/>
      <c r="T163" s="192"/>
    </row>
    <row r="164" spans="1:24" s="68" customFormat="1" ht="12" customHeight="1">
      <c r="A164" s="87"/>
      <c r="B164" s="206"/>
      <c r="C164" s="206"/>
      <c r="D164" s="71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</row>
    <row r="165" spans="1:24" s="1" customFormat="1" ht="11.25" customHeight="1">
      <c r="A165" s="156" t="s">
        <v>29</v>
      </c>
      <c r="B165" s="157"/>
      <c r="C165" s="157"/>
      <c r="D165" s="158">
        <f t="shared" ref="D165:I165" si="44">SUM(D163:D164)</f>
        <v>0</v>
      </c>
      <c r="E165" s="175">
        <f t="shared" si="44"/>
        <v>0</v>
      </c>
      <c r="F165" s="150">
        <f t="shared" si="44"/>
        <v>0</v>
      </c>
      <c r="G165" s="149">
        <f t="shared" si="44"/>
        <v>0</v>
      </c>
      <c r="H165" s="149">
        <f t="shared" si="44"/>
        <v>0</v>
      </c>
      <c r="I165" s="149">
        <f t="shared" si="44"/>
        <v>0</v>
      </c>
      <c r="J165" s="150">
        <f t="shared" ref="J165:T165" si="45">SUM(J163:J164)</f>
        <v>0</v>
      </c>
      <c r="K165" s="150">
        <f t="shared" si="45"/>
        <v>0</v>
      </c>
      <c r="L165" s="150">
        <f t="shared" si="45"/>
        <v>0</v>
      </c>
      <c r="M165" s="150">
        <f t="shared" si="45"/>
        <v>0</v>
      </c>
      <c r="N165" s="151">
        <f t="shared" si="45"/>
        <v>0</v>
      </c>
      <c r="O165" s="150">
        <f t="shared" si="45"/>
        <v>0</v>
      </c>
      <c r="P165" s="150">
        <f t="shared" si="45"/>
        <v>0</v>
      </c>
      <c r="Q165" s="150">
        <f t="shared" si="45"/>
        <v>0</v>
      </c>
      <c r="R165" s="150">
        <f t="shared" si="45"/>
        <v>0</v>
      </c>
      <c r="S165" s="150">
        <f t="shared" si="45"/>
        <v>0</v>
      </c>
      <c r="T165" s="150">
        <f t="shared" si="45"/>
        <v>0</v>
      </c>
      <c r="U165" s="29"/>
      <c r="V165" s="30"/>
      <c r="W165" s="30"/>
      <c r="X165" s="30"/>
    </row>
    <row r="166" spans="1:24" s="1" customFormat="1" ht="11.25" customHeight="1">
      <c r="A166" s="210" t="s">
        <v>57</v>
      </c>
      <c r="B166" s="211"/>
      <c r="C166" s="211"/>
      <c r="D166" s="212"/>
      <c r="E166" s="121"/>
      <c r="F166" s="150">
        <f>F165/F168</f>
        <v>0</v>
      </c>
      <c r="G166" s="153">
        <f t="shared" ref="G166:T166" si="46">G165/G168</f>
        <v>0</v>
      </c>
      <c r="H166" s="153">
        <f t="shared" si="46"/>
        <v>0</v>
      </c>
      <c r="I166" s="153">
        <f t="shared" si="46"/>
        <v>0</v>
      </c>
      <c r="J166" s="153">
        <f t="shared" si="46"/>
        <v>0</v>
      </c>
      <c r="K166" s="153">
        <f t="shared" si="46"/>
        <v>0</v>
      </c>
      <c r="L166" s="153">
        <f t="shared" si="46"/>
        <v>0</v>
      </c>
      <c r="M166" s="153">
        <f t="shared" si="46"/>
        <v>0</v>
      </c>
      <c r="N166" s="153">
        <f t="shared" si="46"/>
        <v>0</v>
      </c>
      <c r="O166" s="153">
        <f t="shared" si="46"/>
        <v>0</v>
      </c>
      <c r="P166" s="153">
        <f t="shared" si="46"/>
        <v>0</v>
      </c>
      <c r="Q166" s="153">
        <f t="shared" si="46"/>
        <v>0</v>
      </c>
      <c r="R166" s="153">
        <f t="shared" si="46"/>
        <v>0</v>
      </c>
      <c r="S166" s="153">
        <f t="shared" si="46"/>
        <v>0</v>
      </c>
      <c r="T166" s="153">
        <f t="shared" si="46"/>
        <v>0</v>
      </c>
      <c r="U166" s="36"/>
      <c r="V166" s="30"/>
      <c r="W166" s="30"/>
      <c r="X166" s="30"/>
    </row>
    <row r="167" spans="1:24" s="1" customFormat="1" ht="11.25" customHeight="1">
      <c r="A167" s="156" t="s">
        <v>56</v>
      </c>
      <c r="B167" s="157"/>
      <c r="C167" s="157"/>
      <c r="D167" s="61">
        <f>D160+D150</f>
        <v>1400</v>
      </c>
      <c r="E167" s="177">
        <f>E150+E160</f>
        <v>167</v>
      </c>
      <c r="F167" s="150">
        <f t="shared" ref="F167:T167" si="47">SUM(F150,F160,F165)</f>
        <v>50.007000000000005</v>
      </c>
      <c r="G167" s="149">
        <f t="shared" si="47"/>
        <v>54.957999999999998</v>
      </c>
      <c r="H167" s="149">
        <f t="shared" si="47"/>
        <v>176.91200000000001</v>
      </c>
      <c r="I167" s="149">
        <f t="shared" si="47"/>
        <v>1402.2640000000001</v>
      </c>
      <c r="J167" s="150">
        <f t="shared" si="47"/>
        <v>1.3450000000000002</v>
      </c>
      <c r="K167" s="150">
        <f t="shared" si="47"/>
        <v>0.501</v>
      </c>
      <c r="L167" s="149">
        <f t="shared" si="47"/>
        <v>37.224000000000004</v>
      </c>
      <c r="M167" s="150">
        <f t="shared" si="47"/>
        <v>15.312999999999999</v>
      </c>
      <c r="N167" s="150">
        <f t="shared" si="47"/>
        <v>8.673</v>
      </c>
      <c r="O167" s="149">
        <f t="shared" si="47"/>
        <v>253.42200000000003</v>
      </c>
      <c r="P167" s="149">
        <f t="shared" si="47"/>
        <v>877.09900000000005</v>
      </c>
      <c r="Q167" s="150">
        <f t="shared" si="47"/>
        <v>6.3468800000000005</v>
      </c>
      <c r="R167" s="151">
        <f t="shared" si="47"/>
        <v>2.5926199999999997</v>
      </c>
      <c r="S167" s="150">
        <f t="shared" si="47"/>
        <v>294.29000000000002</v>
      </c>
      <c r="T167" s="150">
        <f t="shared" si="47"/>
        <v>13.517999999999999</v>
      </c>
      <c r="U167" s="31"/>
      <c r="V167" s="30"/>
      <c r="W167" s="30"/>
      <c r="X167" s="30"/>
    </row>
    <row r="168" spans="1:24" s="1" customFormat="1" ht="11.25" customHeight="1">
      <c r="A168" s="207" t="s">
        <v>58</v>
      </c>
      <c r="B168" s="208"/>
      <c r="C168" s="208"/>
      <c r="D168" s="209"/>
      <c r="E168" s="127"/>
      <c r="F168" s="163">
        <v>90</v>
      </c>
      <c r="G168" s="161">
        <v>92</v>
      </c>
      <c r="H168" s="161">
        <v>383</v>
      </c>
      <c r="I168" s="161">
        <v>2720</v>
      </c>
      <c r="J168" s="163">
        <v>1.4</v>
      </c>
      <c r="K168" s="163">
        <v>1.6</v>
      </c>
      <c r="L168" s="162">
        <v>70</v>
      </c>
      <c r="M168" s="163">
        <v>0.9</v>
      </c>
      <c r="N168" s="162">
        <v>12</v>
      </c>
      <c r="O168" s="162">
        <v>1200</v>
      </c>
      <c r="P168" s="162">
        <v>1200</v>
      </c>
      <c r="Q168" s="162">
        <v>14</v>
      </c>
      <c r="R168" s="161">
        <v>0.1</v>
      </c>
      <c r="S168" s="162">
        <v>300</v>
      </c>
      <c r="T168" s="163">
        <v>18</v>
      </c>
      <c r="U168" s="49"/>
      <c r="V168" s="50"/>
      <c r="W168" s="50"/>
      <c r="X168" s="50"/>
    </row>
    <row r="169" spans="1:24" s="1" customFormat="1" ht="11.25" customHeight="1">
      <c r="A169" s="210" t="s">
        <v>57</v>
      </c>
      <c r="B169" s="211"/>
      <c r="C169" s="211"/>
      <c r="D169" s="212"/>
      <c r="E169" s="121"/>
      <c r="F169" s="51">
        <f t="shared" ref="F169:T169" si="48">F167/F168</f>
        <v>0.55563333333333342</v>
      </c>
      <c r="G169" s="153">
        <f t="shared" si="48"/>
        <v>0.59736956521739126</v>
      </c>
      <c r="H169" s="153">
        <f t="shared" si="48"/>
        <v>0.46191122715404703</v>
      </c>
      <c r="I169" s="153">
        <f t="shared" si="48"/>
        <v>0.51553823529411769</v>
      </c>
      <c r="J169" s="153">
        <f t="shared" si="48"/>
        <v>0.96071428571428596</v>
      </c>
      <c r="K169" s="153">
        <f t="shared" si="48"/>
        <v>0.31312499999999999</v>
      </c>
      <c r="L169" s="153">
        <f t="shared" si="48"/>
        <v>0.53177142857142867</v>
      </c>
      <c r="M169" s="33">
        <f t="shared" si="48"/>
        <v>17.014444444444443</v>
      </c>
      <c r="N169" s="153">
        <f t="shared" si="48"/>
        <v>0.72275</v>
      </c>
      <c r="O169" s="153">
        <f t="shared" si="48"/>
        <v>0.21118500000000001</v>
      </c>
      <c r="P169" s="153">
        <f t="shared" si="48"/>
        <v>0.73091583333333332</v>
      </c>
      <c r="Q169" s="153">
        <f t="shared" si="48"/>
        <v>0.45334857142857149</v>
      </c>
      <c r="R169" s="33">
        <f t="shared" si="48"/>
        <v>25.926199999999994</v>
      </c>
      <c r="S169" s="153">
        <f t="shared" si="48"/>
        <v>0.98096666666666676</v>
      </c>
      <c r="T169" s="33">
        <f t="shared" si="48"/>
        <v>0.75099999999999989</v>
      </c>
      <c r="U169" s="34"/>
      <c r="V169" s="35"/>
      <c r="W169" s="35"/>
      <c r="X169" s="35"/>
    </row>
    <row r="170" spans="1:24" s="1" customFormat="1" ht="11.25" customHeight="1">
      <c r="A170" s="42"/>
      <c r="B170" s="41"/>
      <c r="C170" s="41"/>
      <c r="D170" s="144"/>
      <c r="E170" s="144"/>
      <c r="F170" s="140"/>
      <c r="G170" s="144"/>
      <c r="H170" s="144"/>
      <c r="I170" s="144"/>
      <c r="J170" s="144"/>
      <c r="K170" s="144"/>
      <c r="L170" s="144"/>
      <c r="M170" s="218" t="s">
        <v>59</v>
      </c>
      <c r="N170" s="218"/>
      <c r="O170" s="218"/>
      <c r="P170" s="218"/>
      <c r="Q170" s="218"/>
      <c r="R170" s="218"/>
      <c r="S170" s="218"/>
      <c r="T170" s="218"/>
      <c r="U170" s="10"/>
      <c r="V170" s="17"/>
      <c r="W170" s="17"/>
      <c r="X170" s="17"/>
    </row>
    <row r="171" spans="1:24" s="3" customFormat="1" ht="11.25" customHeight="1">
      <c r="A171" s="235" t="s">
        <v>38</v>
      </c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  <c r="S171" s="235"/>
      <c r="T171" s="235"/>
      <c r="U171" s="11"/>
      <c r="V171" s="23"/>
      <c r="W171" s="23"/>
      <c r="X171" s="23"/>
    </row>
    <row r="172" spans="1:24" s="3" customFormat="1" ht="11.25" customHeight="1">
      <c r="A172" s="43" t="s">
        <v>50</v>
      </c>
      <c r="B172" s="41"/>
      <c r="C172" s="41"/>
      <c r="D172" s="2"/>
      <c r="E172" s="2"/>
      <c r="F172" s="140"/>
      <c r="G172" s="238" t="s">
        <v>0</v>
      </c>
      <c r="H172" s="238"/>
      <c r="I172" s="238"/>
      <c r="J172" s="144"/>
      <c r="K172" s="144"/>
      <c r="L172" s="219" t="s">
        <v>1</v>
      </c>
      <c r="M172" s="219"/>
      <c r="N172" s="248"/>
      <c r="O172" s="248"/>
      <c r="P172" s="248"/>
      <c r="Q172" s="248"/>
      <c r="R172" s="144"/>
      <c r="S172" s="144"/>
      <c r="T172" s="144"/>
      <c r="U172" s="12"/>
      <c r="V172" s="18"/>
      <c r="W172" s="18"/>
      <c r="X172" s="18"/>
    </row>
    <row r="173" spans="1:24" s="3" customFormat="1" ht="11.25" customHeight="1">
      <c r="A173" s="41"/>
      <c r="B173" s="41"/>
      <c r="C173" s="41"/>
      <c r="D173" s="232" t="s">
        <v>2</v>
      </c>
      <c r="E173" s="232"/>
      <c r="F173" s="232"/>
      <c r="G173" s="5">
        <v>2</v>
      </c>
      <c r="H173" s="144"/>
      <c r="I173" s="2"/>
      <c r="J173" s="2"/>
      <c r="K173" s="2"/>
      <c r="L173" s="232" t="s">
        <v>3</v>
      </c>
      <c r="M173" s="232"/>
      <c r="N173" s="238" t="str">
        <f>N140</f>
        <v>7-11 лет;12 и старше</v>
      </c>
      <c r="O173" s="238"/>
      <c r="P173" s="238"/>
      <c r="Q173" s="238"/>
      <c r="R173" s="238"/>
      <c r="S173" s="238"/>
      <c r="T173" s="238"/>
      <c r="U173" s="13"/>
      <c r="V173" s="19"/>
      <c r="W173" s="19"/>
      <c r="X173" s="19"/>
    </row>
    <row r="174" spans="1:24" s="1" customFormat="1" ht="21.75" customHeight="1">
      <c r="A174" s="246" t="s">
        <v>4</v>
      </c>
      <c r="B174" s="239" t="s">
        <v>5</v>
      </c>
      <c r="C174" s="240"/>
      <c r="D174" s="246" t="s">
        <v>6</v>
      </c>
      <c r="E174" s="124"/>
      <c r="F174" s="228" t="s">
        <v>7</v>
      </c>
      <c r="G174" s="229"/>
      <c r="H174" s="230"/>
      <c r="I174" s="246" t="s">
        <v>8</v>
      </c>
      <c r="J174" s="228" t="s">
        <v>9</v>
      </c>
      <c r="K174" s="229"/>
      <c r="L174" s="229"/>
      <c r="M174" s="229"/>
      <c r="N174" s="230"/>
      <c r="O174" s="228" t="s">
        <v>10</v>
      </c>
      <c r="P174" s="229"/>
      <c r="Q174" s="229"/>
      <c r="R174" s="229"/>
      <c r="S174" s="229"/>
      <c r="T174" s="230"/>
      <c r="U174" s="7"/>
      <c r="V174" s="20"/>
      <c r="W174" s="20"/>
      <c r="X174" s="20"/>
    </row>
    <row r="175" spans="1:24" s="1" customFormat="1" ht="21" customHeight="1">
      <c r="A175" s="247"/>
      <c r="B175" s="241"/>
      <c r="C175" s="242"/>
      <c r="D175" s="247"/>
      <c r="E175" s="123"/>
      <c r="F175" s="57" t="s">
        <v>11</v>
      </c>
      <c r="G175" s="129" t="s">
        <v>12</v>
      </c>
      <c r="H175" s="129" t="s">
        <v>13</v>
      </c>
      <c r="I175" s="247"/>
      <c r="J175" s="129" t="s">
        <v>14</v>
      </c>
      <c r="K175" s="129" t="s">
        <v>52</v>
      </c>
      <c r="L175" s="129" t="s">
        <v>15</v>
      </c>
      <c r="M175" s="129" t="s">
        <v>16</v>
      </c>
      <c r="N175" s="129" t="s">
        <v>17</v>
      </c>
      <c r="O175" s="129" t="s">
        <v>18</v>
      </c>
      <c r="P175" s="129" t="s">
        <v>19</v>
      </c>
      <c r="Q175" s="129" t="s">
        <v>53</v>
      </c>
      <c r="R175" s="129" t="s">
        <v>55</v>
      </c>
      <c r="S175" s="129" t="s">
        <v>20</v>
      </c>
      <c r="T175" s="129" t="s">
        <v>21</v>
      </c>
      <c r="U175" s="7"/>
      <c r="V175" s="20"/>
      <c r="W175" s="20"/>
      <c r="X175" s="20"/>
    </row>
    <row r="176" spans="1:24" s="1" customFormat="1" ht="11.25" customHeight="1">
      <c r="A176" s="172">
        <v>1</v>
      </c>
      <c r="B176" s="226">
        <v>2</v>
      </c>
      <c r="C176" s="227"/>
      <c r="D176" s="28">
        <v>3</v>
      </c>
      <c r="E176" s="28"/>
      <c r="F176" s="58">
        <v>4</v>
      </c>
      <c r="G176" s="28">
        <v>5</v>
      </c>
      <c r="H176" s="28">
        <v>6</v>
      </c>
      <c r="I176" s="28">
        <v>7</v>
      </c>
      <c r="J176" s="28">
        <v>8</v>
      </c>
      <c r="K176" s="28">
        <v>9</v>
      </c>
      <c r="L176" s="28">
        <v>10</v>
      </c>
      <c r="M176" s="28">
        <v>11</v>
      </c>
      <c r="N176" s="28">
        <v>12</v>
      </c>
      <c r="O176" s="28">
        <v>13</v>
      </c>
      <c r="P176" s="28">
        <v>14</v>
      </c>
      <c r="Q176" s="28">
        <v>15</v>
      </c>
      <c r="R176" s="28">
        <v>16</v>
      </c>
      <c r="S176" s="28">
        <v>17</v>
      </c>
      <c r="T176" s="28">
        <v>18</v>
      </c>
      <c r="U176" s="8"/>
      <c r="V176" s="21"/>
      <c r="W176" s="21"/>
      <c r="X176" s="21"/>
    </row>
    <row r="177" spans="1:24" s="1" customFormat="1" ht="11.25" customHeight="1">
      <c r="A177" s="215" t="s">
        <v>111</v>
      </c>
      <c r="B177" s="216"/>
      <c r="C177" s="21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7"/>
      <c r="U177" s="9"/>
      <c r="V177" s="22"/>
      <c r="W177" s="22"/>
      <c r="X177" s="22"/>
    </row>
    <row r="178" spans="1:24" s="180" customFormat="1" ht="12" customHeight="1">
      <c r="A178" s="172">
        <v>203</v>
      </c>
      <c r="B178" s="201" t="s">
        <v>108</v>
      </c>
      <c r="C178" s="202"/>
      <c r="D178" s="162">
        <v>180</v>
      </c>
      <c r="E178" s="163">
        <v>26.27</v>
      </c>
      <c r="F178" s="163">
        <v>11.17</v>
      </c>
      <c r="G178" s="163">
        <v>10.28</v>
      </c>
      <c r="H178" s="163">
        <v>31.78</v>
      </c>
      <c r="I178" s="163">
        <v>264</v>
      </c>
      <c r="J178" s="163">
        <v>0.108</v>
      </c>
      <c r="K178" s="163">
        <v>3.5999999999999997E-2</v>
      </c>
      <c r="L178" s="163">
        <v>0</v>
      </c>
      <c r="M178" s="164">
        <v>3.5999999999999997E-2</v>
      </c>
      <c r="N178" s="163">
        <v>1.5</v>
      </c>
      <c r="O178" s="163">
        <v>15.936</v>
      </c>
      <c r="P178" s="163">
        <v>55.451999999999998</v>
      </c>
      <c r="Q178" s="163">
        <v>0.93600000000000005</v>
      </c>
      <c r="R178" s="164">
        <v>1.8000000000000002E-3</v>
      </c>
      <c r="S178" s="163">
        <v>10.164000000000001</v>
      </c>
      <c r="T178" s="163">
        <v>1.032</v>
      </c>
      <c r="U178" s="178"/>
      <c r="V178" s="179"/>
      <c r="W178" s="179"/>
      <c r="X178" s="179"/>
    </row>
    <row r="179" spans="1:24" s="107" customFormat="1" ht="22.5" customHeight="1">
      <c r="A179" s="69" t="s">
        <v>60</v>
      </c>
      <c r="B179" s="224" t="s">
        <v>109</v>
      </c>
      <c r="C179" s="225"/>
      <c r="D179" s="70">
        <v>100</v>
      </c>
      <c r="E179" s="67">
        <v>32</v>
      </c>
      <c r="F179" s="67">
        <v>5.86</v>
      </c>
      <c r="G179" s="67">
        <v>16.309999999999999</v>
      </c>
      <c r="H179" s="67">
        <v>3.07</v>
      </c>
      <c r="I179" s="67">
        <v>182.51</v>
      </c>
      <c r="J179" s="67">
        <v>0.14000000000000001</v>
      </c>
      <c r="K179" s="67">
        <v>0.05</v>
      </c>
      <c r="L179" s="67">
        <v>0.09</v>
      </c>
      <c r="M179" s="67">
        <v>0</v>
      </c>
      <c r="N179" s="67">
        <v>0</v>
      </c>
      <c r="O179" s="67">
        <v>9.5399999999999991</v>
      </c>
      <c r="P179" s="67">
        <v>63.38</v>
      </c>
      <c r="Q179" s="67">
        <v>1.1200000000000001</v>
      </c>
      <c r="R179" s="67">
        <v>2.5499999999999998</v>
      </c>
      <c r="S179" s="67">
        <v>11.3</v>
      </c>
      <c r="T179" s="67">
        <v>0.75</v>
      </c>
      <c r="U179" s="112"/>
      <c r="V179" s="113"/>
      <c r="W179" s="113"/>
      <c r="X179" s="113"/>
    </row>
    <row r="180" spans="1:24" s="137" customFormat="1" ht="11.25" customHeight="1">
      <c r="A180" s="90" t="s">
        <v>60</v>
      </c>
      <c r="B180" s="213" t="s">
        <v>88</v>
      </c>
      <c r="C180" s="214"/>
      <c r="D180" s="90">
        <v>30</v>
      </c>
      <c r="E180" s="91">
        <v>8.4</v>
      </c>
      <c r="F180" s="91">
        <v>0.65</v>
      </c>
      <c r="G180" s="92">
        <v>3.8</v>
      </c>
      <c r="H180" s="93">
        <v>17.600000000000001</v>
      </c>
      <c r="I180" s="91">
        <v>38</v>
      </c>
      <c r="J180" s="91">
        <v>2.5999999999999999E-2</v>
      </c>
      <c r="K180" s="91">
        <v>0.03</v>
      </c>
      <c r="L180" s="91">
        <v>0.13</v>
      </c>
      <c r="M180" s="91">
        <v>11.96</v>
      </c>
      <c r="N180" s="92">
        <v>0.39</v>
      </c>
      <c r="O180" s="91">
        <v>24.18</v>
      </c>
      <c r="P180" s="91">
        <v>49.4</v>
      </c>
      <c r="Q180" s="94">
        <v>0.2</v>
      </c>
      <c r="R180" s="91">
        <v>2E-3</v>
      </c>
      <c r="S180" s="91">
        <v>18.72</v>
      </c>
      <c r="T180" s="91">
        <v>0.182</v>
      </c>
      <c r="U180"/>
      <c r="V180"/>
      <c r="W180"/>
      <c r="X180"/>
    </row>
    <row r="181" spans="1:24" s="73" customFormat="1" ht="12.75" customHeight="1">
      <c r="A181" s="172">
        <v>377</v>
      </c>
      <c r="B181" s="203" t="s">
        <v>43</v>
      </c>
      <c r="C181" s="203"/>
      <c r="D181" s="162">
        <v>200</v>
      </c>
      <c r="E181" s="163">
        <v>3.81</v>
      </c>
      <c r="F181" s="163">
        <v>0.26</v>
      </c>
      <c r="G181" s="163">
        <v>0.06</v>
      </c>
      <c r="H181" s="163">
        <v>15.22</v>
      </c>
      <c r="I181" s="163">
        <f>F181*4+G181*9+H181*4</f>
        <v>62.46</v>
      </c>
      <c r="J181" s="163"/>
      <c r="K181" s="163">
        <v>0.01</v>
      </c>
      <c r="L181" s="163">
        <v>2.9</v>
      </c>
      <c r="M181" s="160">
        <v>0</v>
      </c>
      <c r="N181" s="163">
        <v>0.06</v>
      </c>
      <c r="O181" s="163">
        <v>8.0500000000000007</v>
      </c>
      <c r="P181" s="163">
        <v>9.7799999999999994</v>
      </c>
      <c r="Q181" s="163">
        <v>1.7000000000000001E-2</v>
      </c>
      <c r="R181" s="164">
        <v>0</v>
      </c>
      <c r="S181" s="163">
        <v>5.24</v>
      </c>
      <c r="T181" s="163">
        <v>0.87</v>
      </c>
      <c r="U181" s="77"/>
      <c r="V181" s="78"/>
      <c r="W181" s="78"/>
      <c r="X181" s="78"/>
    </row>
    <row r="182" spans="1:24" s="73" customFormat="1" ht="11.25" customHeight="1">
      <c r="A182" s="167" t="s">
        <v>60</v>
      </c>
      <c r="B182" s="201" t="s">
        <v>49</v>
      </c>
      <c r="C182" s="202"/>
      <c r="D182" s="162">
        <v>30</v>
      </c>
      <c r="E182" s="163">
        <v>2.52</v>
      </c>
      <c r="F182" s="163">
        <f>1.52*D182/30</f>
        <v>1.52</v>
      </c>
      <c r="G182" s="164">
        <f>0.16*D182/30</f>
        <v>0.16</v>
      </c>
      <c r="H182" s="164">
        <f>9.84*D182/30</f>
        <v>9.84</v>
      </c>
      <c r="I182" s="164">
        <f>F182*4+G182*9+H182*4</f>
        <v>46.879999999999995</v>
      </c>
      <c r="J182" s="164">
        <f>0.02*D182/30</f>
        <v>0.02</v>
      </c>
      <c r="K182" s="164">
        <f>0.01*D182/30</f>
        <v>0.01</v>
      </c>
      <c r="L182" s="164">
        <f>0.44*D182/30</f>
        <v>0.44</v>
      </c>
      <c r="M182" s="164">
        <v>0</v>
      </c>
      <c r="N182" s="164">
        <f>0.7*D182/30</f>
        <v>0.7</v>
      </c>
      <c r="O182" s="164">
        <f>4*D182/30</f>
        <v>4</v>
      </c>
      <c r="P182" s="164">
        <f>13*D182/30</f>
        <v>13</v>
      </c>
      <c r="Q182" s="164">
        <f>0.008*D182/30</f>
        <v>8.0000000000000002E-3</v>
      </c>
      <c r="R182" s="164">
        <f>0.001*D182/30</f>
        <v>1E-3</v>
      </c>
      <c r="S182" s="164">
        <v>0</v>
      </c>
      <c r="T182" s="164">
        <f>0.22*D182/30</f>
        <v>0.22</v>
      </c>
      <c r="U182" s="77"/>
      <c r="V182" s="78"/>
      <c r="W182" s="78"/>
      <c r="X182" s="78"/>
    </row>
    <row r="183" spans="1:24" s="73" customFormat="1" ht="11.25" customHeight="1">
      <c r="A183" s="46" t="str">
        <f>A248</f>
        <v>Итого за Завтрак мясной</v>
      </c>
      <c r="B183" s="47"/>
      <c r="C183" s="47"/>
      <c r="D183" s="158">
        <f t="shared" ref="D183:I183" si="49">SUM(D178:D182)</f>
        <v>540</v>
      </c>
      <c r="E183" s="175">
        <f t="shared" si="49"/>
        <v>73</v>
      </c>
      <c r="F183" s="150">
        <f t="shared" si="49"/>
        <v>19.46</v>
      </c>
      <c r="G183" s="149">
        <f t="shared" si="49"/>
        <v>30.609999999999996</v>
      </c>
      <c r="H183" s="149">
        <f t="shared" si="49"/>
        <v>77.510000000000005</v>
      </c>
      <c r="I183" s="155">
        <f t="shared" si="49"/>
        <v>593.85</v>
      </c>
      <c r="J183" s="150">
        <f t="shared" ref="J183:T183" si="50">SUM(J178:J182)</f>
        <v>0.29400000000000004</v>
      </c>
      <c r="K183" s="150">
        <f t="shared" si="50"/>
        <v>0.13600000000000001</v>
      </c>
      <c r="L183" s="150">
        <f t="shared" si="50"/>
        <v>3.56</v>
      </c>
      <c r="M183" s="150">
        <f t="shared" si="50"/>
        <v>11.996</v>
      </c>
      <c r="N183" s="150">
        <f t="shared" si="50"/>
        <v>2.6500000000000004</v>
      </c>
      <c r="O183" s="150">
        <f t="shared" si="50"/>
        <v>61.706000000000003</v>
      </c>
      <c r="P183" s="150">
        <f t="shared" si="50"/>
        <v>191.012</v>
      </c>
      <c r="Q183" s="150">
        <f t="shared" si="50"/>
        <v>2.2810000000000001</v>
      </c>
      <c r="R183" s="151">
        <f t="shared" si="50"/>
        <v>2.5547999999999993</v>
      </c>
      <c r="S183" s="150">
        <f t="shared" si="50"/>
        <v>45.423999999999999</v>
      </c>
      <c r="T183" s="150">
        <f t="shared" si="50"/>
        <v>3.0540000000000003</v>
      </c>
      <c r="U183" s="29"/>
      <c r="V183" s="74"/>
      <c r="W183" s="74"/>
      <c r="X183" s="74"/>
    </row>
    <row r="184" spans="1:24" s="73" customFormat="1" ht="11.25" customHeight="1">
      <c r="A184" s="210" t="s">
        <v>57</v>
      </c>
      <c r="B184" s="211"/>
      <c r="C184" s="211"/>
      <c r="D184" s="212"/>
      <c r="E184" s="173"/>
      <c r="F184" s="171">
        <f t="shared" ref="F184:T184" si="51">F183/F202</f>
        <v>0.21622222222222223</v>
      </c>
      <c r="G184" s="153">
        <f t="shared" si="51"/>
        <v>0.3327173913043478</v>
      </c>
      <c r="H184" s="153">
        <f t="shared" si="51"/>
        <v>0.20237597911227156</v>
      </c>
      <c r="I184" s="153">
        <f t="shared" si="51"/>
        <v>0.21832720588235294</v>
      </c>
      <c r="J184" s="153">
        <f t="shared" si="51"/>
        <v>0.21000000000000005</v>
      </c>
      <c r="K184" s="153">
        <f t="shared" si="51"/>
        <v>8.5000000000000006E-2</v>
      </c>
      <c r="L184" s="153">
        <f t="shared" si="51"/>
        <v>5.0857142857142858E-2</v>
      </c>
      <c r="M184" s="153">
        <f t="shared" si="51"/>
        <v>13.328888888888889</v>
      </c>
      <c r="N184" s="153">
        <f t="shared" si="51"/>
        <v>0.22083333333333335</v>
      </c>
      <c r="O184" s="153">
        <f t="shared" si="51"/>
        <v>5.1421666666666671E-2</v>
      </c>
      <c r="P184" s="153">
        <f t="shared" si="51"/>
        <v>0.15917666666666666</v>
      </c>
      <c r="Q184" s="153">
        <f t="shared" si="51"/>
        <v>0.16292857142857145</v>
      </c>
      <c r="R184" s="153">
        <f t="shared" si="51"/>
        <v>25.547999999999991</v>
      </c>
      <c r="S184" s="153">
        <f t="shared" si="51"/>
        <v>0.15141333333333334</v>
      </c>
      <c r="T184" s="153">
        <f t="shared" si="51"/>
        <v>0.16966666666666669</v>
      </c>
      <c r="U184" s="76"/>
      <c r="V184" s="74"/>
      <c r="W184" s="74"/>
      <c r="X184" s="74"/>
    </row>
    <row r="185" spans="1:24" s="68" customFormat="1" ht="11.25" customHeight="1">
      <c r="A185" s="69" t="s">
        <v>60</v>
      </c>
      <c r="B185" s="223" t="s">
        <v>94</v>
      </c>
      <c r="C185" s="223"/>
      <c r="D185" s="70">
        <v>200</v>
      </c>
      <c r="E185" s="89"/>
      <c r="F185" s="193">
        <v>5.6</v>
      </c>
      <c r="G185" s="193">
        <v>6.4</v>
      </c>
      <c r="H185" s="193">
        <v>9.4</v>
      </c>
      <c r="I185" s="193">
        <v>117.6</v>
      </c>
      <c r="J185" s="193">
        <v>0.08</v>
      </c>
      <c r="K185" s="193">
        <v>0.307</v>
      </c>
      <c r="L185" s="193">
        <v>2.6</v>
      </c>
      <c r="M185" s="193">
        <v>6.7000000000000004E-2</v>
      </c>
      <c r="N185" s="193">
        <v>0.29199999999999998</v>
      </c>
      <c r="O185" s="193">
        <v>240</v>
      </c>
      <c r="P185" s="193">
        <v>180</v>
      </c>
      <c r="Q185" s="193">
        <v>0.8</v>
      </c>
      <c r="R185" s="193">
        <v>1.7999999999999999E-2</v>
      </c>
      <c r="S185" s="193">
        <v>28</v>
      </c>
      <c r="T185" s="193">
        <v>0.12</v>
      </c>
    </row>
    <row r="186" spans="1:24" s="73" customFormat="1" ht="11.25" customHeight="1">
      <c r="A186" s="251" t="str">
        <f>A218</f>
        <v>Обед (полноценный рацион питания)</v>
      </c>
      <c r="B186" s="252"/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2"/>
      <c r="S186" s="252"/>
      <c r="T186" s="253"/>
      <c r="U186" s="9"/>
      <c r="V186" s="22"/>
      <c r="W186" s="22"/>
      <c r="X186" s="22"/>
    </row>
    <row r="187" spans="1:24" s="180" customFormat="1" ht="20.25" customHeight="1">
      <c r="A187" s="172">
        <v>45</v>
      </c>
      <c r="B187" s="203" t="s">
        <v>72</v>
      </c>
      <c r="C187" s="203"/>
      <c r="D187" s="162">
        <v>100</v>
      </c>
      <c r="E187" s="163">
        <v>9.9700000000000006</v>
      </c>
      <c r="F187" s="163">
        <v>1.5</v>
      </c>
      <c r="G187" s="163">
        <v>2.1833333333333331</v>
      </c>
      <c r="H187" s="163">
        <v>9.3333333333333339</v>
      </c>
      <c r="I187" s="163">
        <v>62.983333333333334</v>
      </c>
      <c r="J187" s="163">
        <v>0.1</v>
      </c>
      <c r="K187" s="163">
        <v>0.11666666666666668</v>
      </c>
      <c r="L187" s="163">
        <v>25.833333333333332</v>
      </c>
      <c r="M187" s="164">
        <v>0.11833333333333333</v>
      </c>
      <c r="N187" s="163">
        <v>0.5</v>
      </c>
      <c r="O187" s="163">
        <v>47</v>
      </c>
      <c r="P187" s="163">
        <v>31.499999999999996</v>
      </c>
      <c r="Q187" s="163">
        <v>0.33333333333333331</v>
      </c>
      <c r="R187" s="164">
        <v>1.6666666666666668E-3</v>
      </c>
      <c r="S187" s="163">
        <v>17.5</v>
      </c>
      <c r="T187" s="163">
        <v>1</v>
      </c>
      <c r="U187" s="178"/>
      <c r="V187" s="179"/>
      <c r="W187" s="179"/>
      <c r="X187" s="179"/>
    </row>
    <row r="188" spans="1:24" s="107" customFormat="1" ht="23.25" customHeight="1">
      <c r="A188" s="172">
        <v>88</v>
      </c>
      <c r="B188" s="204" t="s">
        <v>86</v>
      </c>
      <c r="C188" s="205"/>
      <c r="D188" s="160">
        <v>250</v>
      </c>
      <c r="E188" s="160">
        <v>14.74</v>
      </c>
      <c r="F188" s="163">
        <v>2.44</v>
      </c>
      <c r="G188" s="163">
        <v>6.41</v>
      </c>
      <c r="H188" s="163">
        <v>11.11</v>
      </c>
      <c r="I188" s="163">
        <f>F188*4+G188*9+H188*4</f>
        <v>111.89</v>
      </c>
      <c r="J188" s="163">
        <v>0.03</v>
      </c>
      <c r="K188" s="163">
        <v>0.03</v>
      </c>
      <c r="L188" s="163">
        <v>11.39</v>
      </c>
      <c r="M188" s="163">
        <v>0.05</v>
      </c>
      <c r="N188" s="163">
        <v>9.9000000000000005E-2</v>
      </c>
      <c r="O188" s="163">
        <v>45.49</v>
      </c>
      <c r="P188" s="163">
        <v>29.96</v>
      </c>
      <c r="Q188" s="163">
        <v>1.44</v>
      </c>
      <c r="R188" s="164">
        <v>2E-3</v>
      </c>
      <c r="S188" s="163">
        <v>15.35</v>
      </c>
      <c r="T188" s="163">
        <v>0.49</v>
      </c>
      <c r="U188" s="108"/>
      <c r="V188" s="109"/>
      <c r="W188" s="109"/>
      <c r="X188" s="109"/>
    </row>
    <row r="189" spans="1:24" s="180" customFormat="1" ht="24.75" customHeight="1">
      <c r="A189" s="159">
        <v>268</v>
      </c>
      <c r="B189" s="201" t="s">
        <v>76</v>
      </c>
      <c r="C189" s="202"/>
      <c r="D189" s="168">
        <v>90</v>
      </c>
      <c r="E189" s="168">
        <v>51.06</v>
      </c>
      <c r="F189" s="176">
        <v>18.5</v>
      </c>
      <c r="G189" s="176">
        <v>25.862500000000001</v>
      </c>
      <c r="H189" s="176">
        <v>4.7625000000000002</v>
      </c>
      <c r="I189" s="176">
        <v>325.81250000000006</v>
      </c>
      <c r="J189" s="169">
        <v>0.22500000000000001</v>
      </c>
      <c r="K189" s="176">
        <v>0.15</v>
      </c>
      <c r="L189" s="176">
        <v>0.53749999999999998</v>
      </c>
      <c r="M189" s="169">
        <v>9.9000000000000005E-2</v>
      </c>
      <c r="N189" s="169">
        <v>1.2500000000000001E-2</v>
      </c>
      <c r="O189" s="176">
        <v>60.5625</v>
      </c>
      <c r="P189" s="176">
        <v>222.375</v>
      </c>
      <c r="Q189" s="169">
        <v>2.8499999999999996</v>
      </c>
      <c r="R189" s="169">
        <v>0.05</v>
      </c>
      <c r="S189" s="176">
        <v>30.5625</v>
      </c>
      <c r="T189" s="176">
        <v>2.4125000000000001</v>
      </c>
      <c r="U189" s="182"/>
      <c r="V189" s="183"/>
      <c r="W189" s="183"/>
      <c r="X189" s="183"/>
    </row>
    <row r="190" spans="1:24" s="180" customFormat="1" ht="24" customHeight="1">
      <c r="A190" s="172">
        <v>304</v>
      </c>
      <c r="B190" s="203" t="s">
        <v>82</v>
      </c>
      <c r="C190" s="203"/>
      <c r="D190" s="162">
        <v>180</v>
      </c>
      <c r="E190" s="163">
        <v>8.73</v>
      </c>
      <c r="F190" s="163">
        <v>4.4400000000000004</v>
      </c>
      <c r="G190" s="163">
        <v>6.44</v>
      </c>
      <c r="H190" s="163">
        <v>44.01</v>
      </c>
      <c r="I190" s="163">
        <v>251.82</v>
      </c>
      <c r="J190" s="163">
        <v>3.5999999999999997E-2</v>
      </c>
      <c r="K190" s="160">
        <v>2.4E-2</v>
      </c>
      <c r="L190" s="163">
        <v>0</v>
      </c>
      <c r="M190" s="160">
        <v>4.8000000000000001E-2</v>
      </c>
      <c r="N190" s="161">
        <v>0</v>
      </c>
      <c r="O190" s="161">
        <v>17.93</v>
      </c>
      <c r="P190" s="162">
        <v>95.25</v>
      </c>
      <c r="Q190" s="143">
        <v>0</v>
      </c>
      <c r="R190" s="161">
        <v>1E-3</v>
      </c>
      <c r="S190" s="163">
        <v>33.47</v>
      </c>
      <c r="T190" s="165">
        <v>0.70799999999999996</v>
      </c>
      <c r="U190" s="179"/>
      <c r="V190" s="179"/>
      <c r="W190" s="179"/>
      <c r="X190" s="179"/>
    </row>
    <row r="191" spans="1:24" s="180" customFormat="1">
      <c r="A191" s="69">
        <v>345</v>
      </c>
      <c r="B191" s="206" t="s">
        <v>46</v>
      </c>
      <c r="C191" s="206"/>
      <c r="D191" s="71">
        <v>200</v>
      </c>
      <c r="E191" s="67">
        <v>4.9000000000000004</v>
      </c>
      <c r="F191" s="67">
        <v>0.06</v>
      </c>
      <c r="G191" s="67">
        <v>0.02</v>
      </c>
      <c r="H191" s="67">
        <v>20.73</v>
      </c>
      <c r="I191" s="67">
        <v>83.34</v>
      </c>
      <c r="J191" s="67">
        <v>0</v>
      </c>
      <c r="K191" s="67">
        <v>0</v>
      </c>
      <c r="L191" s="67">
        <v>2.5</v>
      </c>
      <c r="M191" s="67">
        <v>4.0000000000000001E-3</v>
      </c>
      <c r="N191" s="67">
        <v>0.2</v>
      </c>
      <c r="O191" s="67">
        <v>4</v>
      </c>
      <c r="P191" s="67">
        <v>3.3</v>
      </c>
      <c r="Q191" s="67">
        <v>0.08</v>
      </c>
      <c r="R191" s="67">
        <v>1E-3</v>
      </c>
      <c r="S191" s="67">
        <v>1.7</v>
      </c>
      <c r="T191" s="67">
        <v>0.15</v>
      </c>
      <c r="U191" s="178"/>
      <c r="V191" s="179"/>
      <c r="W191" s="179"/>
      <c r="X191" s="179"/>
    </row>
    <row r="192" spans="1:24" s="180" customFormat="1" ht="11.25" customHeight="1">
      <c r="A192" s="52" t="s">
        <v>60</v>
      </c>
      <c r="B192" s="201" t="s">
        <v>44</v>
      </c>
      <c r="C192" s="202"/>
      <c r="D192" s="162">
        <v>40</v>
      </c>
      <c r="E192" s="163">
        <v>2.08</v>
      </c>
      <c r="F192" s="163">
        <f>2.64*D192/40</f>
        <v>2.64</v>
      </c>
      <c r="G192" s="163">
        <f>0.48*D192/40</f>
        <v>0.48</v>
      </c>
      <c r="H192" s="163">
        <f>13.68*D192/40</f>
        <v>13.680000000000001</v>
      </c>
      <c r="I192" s="161">
        <f>F192*4+G192*9+H192*4</f>
        <v>69.600000000000009</v>
      </c>
      <c r="J192" s="160">
        <f>0.08*D192/40</f>
        <v>0.08</v>
      </c>
      <c r="K192" s="163">
        <f>0.04*D192/40</f>
        <v>0.04</v>
      </c>
      <c r="L192" s="162">
        <v>0</v>
      </c>
      <c r="M192" s="162">
        <v>0</v>
      </c>
      <c r="N192" s="163">
        <f>2.4*D192/40</f>
        <v>2.4</v>
      </c>
      <c r="O192" s="163">
        <f>14*D192/40</f>
        <v>14</v>
      </c>
      <c r="P192" s="163">
        <f>63.2*D192/40</f>
        <v>63.2</v>
      </c>
      <c r="Q192" s="163">
        <f>1.2*D192/40</f>
        <v>1.2</v>
      </c>
      <c r="R192" s="164">
        <f>0.001*D192/40</f>
        <v>1E-3</v>
      </c>
      <c r="S192" s="163">
        <f>9.4*D192/40</f>
        <v>9.4</v>
      </c>
      <c r="T192" s="160">
        <f>0.78*D192/40</f>
        <v>0.78</v>
      </c>
      <c r="U192" s="188"/>
      <c r="V192" s="189"/>
      <c r="W192" s="189"/>
      <c r="X192" s="189"/>
    </row>
    <row r="193" spans="1:24" s="73" customFormat="1" ht="11.25" customHeight="1">
      <c r="A193" s="167" t="s">
        <v>60</v>
      </c>
      <c r="B193" s="201" t="s">
        <v>49</v>
      </c>
      <c r="C193" s="202"/>
      <c r="D193" s="162">
        <v>30</v>
      </c>
      <c r="E193" s="163">
        <v>2.52</v>
      </c>
      <c r="F193" s="163">
        <f>1.52*D193/30</f>
        <v>1.52</v>
      </c>
      <c r="G193" s="164">
        <f>0.16*D193/30</f>
        <v>0.16</v>
      </c>
      <c r="H193" s="164">
        <f>9.84*D193/30</f>
        <v>9.84</v>
      </c>
      <c r="I193" s="164">
        <f>F193*4+G193*9+H193*4</f>
        <v>46.879999999999995</v>
      </c>
      <c r="J193" s="164">
        <f>0.02*D193/30</f>
        <v>0.02</v>
      </c>
      <c r="K193" s="164">
        <f>0.01*D193/30</f>
        <v>0.01</v>
      </c>
      <c r="L193" s="164">
        <f>0.44*D193/30</f>
        <v>0.44</v>
      </c>
      <c r="M193" s="164">
        <v>0</v>
      </c>
      <c r="N193" s="164">
        <f>0.7*D193/30</f>
        <v>0.7</v>
      </c>
      <c r="O193" s="164">
        <f>4*D193/30</f>
        <v>4</v>
      </c>
      <c r="P193" s="164">
        <f>13*D193/30</f>
        <v>13</v>
      </c>
      <c r="Q193" s="164">
        <f>0.008*D193/30</f>
        <v>8.0000000000000002E-3</v>
      </c>
      <c r="R193" s="164">
        <f>0.001*D193/30</f>
        <v>1E-3</v>
      </c>
      <c r="S193" s="164">
        <v>0</v>
      </c>
      <c r="T193" s="164">
        <f>0.22*D193/30</f>
        <v>0.22</v>
      </c>
      <c r="U193" s="77"/>
      <c r="V193" s="78"/>
      <c r="W193" s="78"/>
      <c r="X193" s="78"/>
    </row>
    <row r="194" spans="1:24" s="73" customFormat="1" ht="11.25" customHeight="1">
      <c r="A194" s="156" t="s">
        <v>27</v>
      </c>
      <c r="B194" s="157"/>
      <c r="C194" s="157"/>
      <c r="D194" s="158">
        <f t="shared" ref="D194:T194" si="52">SUM(D187:D193)</f>
        <v>890</v>
      </c>
      <c r="E194" s="175">
        <f t="shared" si="52"/>
        <v>94.000000000000014</v>
      </c>
      <c r="F194" s="150">
        <f t="shared" si="52"/>
        <v>31.1</v>
      </c>
      <c r="G194" s="149">
        <f t="shared" si="52"/>
        <v>41.555833333333325</v>
      </c>
      <c r="H194" s="149">
        <f t="shared" si="52"/>
        <v>113.46583333333335</v>
      </c>
      <c r="I194" s="149">
        <f t="shared" si="52"/>
        <v>952.32583333333343</v>
      </c>
      <c r="J194" s="149">
        <f t="shared" si="52"/>
        <v>0.49099999999999999</v>
      </c>
      <c r="K194" s="149">
        <f t="shared" si="52"/>
        <v>0.37066666666666664</v>
      </c>
      <c r="L194" s="149">
        <f t="shared" si="52"/>
        <v>40.700833333333328</v>
      </c>
      <c r="M194" s="149">
        <f t="shared" si="52"/>
        <v>0.3193333333333333</v>
      </c>
      <c r="N194" s="149">
        <f t="shared" si="52"/>
        <v>3.9115000000000002</v>
      </c>
      <c r="O194" s="149">
        <f t="shared" si="52"/>
        <v>192.98250000000002</v>
      </c>
      <c r="P194" s="149">
        <f t="shared" si="52"/>
        <v>458.58499999999998</v>
      </c>
      <c r="Q194" s="149">
        <f t="shared" si="52"/>
        <v>5.9113333333333333</v>
      </c>
      <c r="R194" s="149">
        <f t="shared" si="52"/>
        <v>5.7666666666666672E-2</v>
      </c>
      <c r="S194" s="149">
        <f t="shared" si="52"/>
        <v>107.9825</v>
      </c>
      <c r="T194" s="149">
        <f t="shared" si="52"/>
        <v>5.7605000000000004</v>
      </c>
      <c r="U194" s="29"/>
      <c r="V194" s="74"/>
      <c r="W194" s="74"/>
      <c r="X194" s="74"/>
    </row>
    <row r="195" spans="1:24" s="73" customFormat="1" ht="11.25" customHeight="1">
      <c r="A195" s="210" t="s">
        <v>57</v>
      </c>
      <c r="B195" s="211"/>
      <c r="C195" s="211"/>
      <c r="D195" s="212"/>
      <c r="E195" s="173"/>
      <c r="F195" s="171">
        <f t="shared" ref="F195:T195" si="53">F194/F202</f>
        <v>0.34555555555555556</v>
      </c>
      <c r="G195" s="153">
        <f t="shared" si="53"/>
        <v>0.45169384057971007</v>
      </c>
      <c r="H195" s="153">
        <f t="shared" si="53"/>
        <v>0.29625543951261973</v>
      </c>
      <c r="I195" s="153">
        <f t="shared" si="53"/>
        <v>0.35011979166666668</v>
      </c>
      <c r="J195" s="153">
        <f t="shared" si="53"/>
        <v>0.35071428571428576</v>
      </c>
      <c r="K195" s="153">
        <f t="shared" si="53"/>
        <v>0.23166666666666663</v>
      </c>
      <c r="L195" s="153">
        <f t="shared" si="53"/>
        <v>0.58144047619047612</v>
      </c>
      <c r="M195" s="153">
        <f t="shared" si="53"/>
        <v>0.35481481481481475</v>
      </c>
      <c r="N195" s="153">
        <f t="shared" si="53"/>
        <v>0.32595833333333335</v>
      </c>
      <c r="O195" s="153">
        <f t="shared" si="53"/>
        <v>0.16081875000000001</v>
      </c>
      <c r="P195" s="153">
        <f t="shared" si="53"/>
        <v>0.38215416666666663</v>
      </c>
      <c r="Q195" s="153">
        <f t="shared" si="53"/>
        <v>0.42223809523809525</v>
      </c>
      <c r="R195" s="153">
        <f t="shared" si="53"/>
        <v>0.57666666666666666</v>
      </c>
      <c r="S195" s="153">
        <f t="shared" si="53"/>
        <v>0.35994166666666666</v>
      </c>
      <c r="T195" s="153">
        <f t="shared" si="53"/>
        <v>0.3200277777777778</v>
      </c>
      <c r="U195" s="76"/>
      <c r="V195" s="74"/>
      <c r="W195" s="74"/>
      <c r="X195" s="74"/>
    </row>
    <row r="196" spans="1:24" s="73" customFormat="1" ht="11.25" customHeight="1">
      <c r="A196" s="215" t="s">
        <v>28</v>
      </c>
      <c r="B196" s="216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7"/>
      <c r="U196" s="9"/>
      <c r="V196" s="22"/>
      <c r="W196" s="22"/>
      <c r="X196" s="22"/>
    </row>
    <row r="197" spans="1:24" s="68" customFormat="1" ht="11.25" customHeight="1">
      <c r="A197" s="194"/>
      <c r="B197" s="231"/>
      <c r="C197" s="231"/>
      <c r="D197" s="191"/>
      <c r="E197" s="192"/>
      <c r="F197" s="192"/>
      <c r="G197" s="192"/>
      <c r="H197" s="192"/>
      <c r="I197" s="192"/>
      <c r="J197" s="192"/>
      <c r="K197" s="192"/>
      <c r="L197" s="197"/>
      <c r="M197" s="192"/>
      <c r="N197" s="196"/>
      <c r="O197" s="197"/>
      <c r="P197" s="192"/>
      <c r="Q197" s="197"/>
      <c r="R197" s="191"/>
      <c r="S197" s="192"/>
      <c r="T197" s="192"/>
    </row>
    <row r="198" spans="1:24" s="73" customFormat="1" ht="12.75" customHeight="1">
      <c r="A198" s="172"/>
      <c r="B198" s="203"/>
      <c r="C198" s="203"/>
      <c r="D198" s="162"/>
      <c r="E198" s="163"/>
      <c r="F198" s="163"/>
      <c r="G198" s="163"/>
      <c r="H198" s="163"/>
      <c r="I198" s="163"/>
      <c r="J198" s="163"/>
      <c r="K198" s="163"/>
      <c r="L198" s="163"/>
      <c r="M198" s="160"/>
      <c r="N198" s="163"/>
      <c r="O198" s="163"/>
      <c r="P198" s="163"/>
      <c r="Q198" s="163"/>
      <c r="R198" s="164"/>
      <c r="S198" s="163"/>
      <c r="T198" s="163"/>
      <c r="U198" s="77"/>
      <c r="V198" s="78"/>
      <c r="W198" s="78"/>
      <c r="X198" s="78"/>
    </row>
    <row r="199" spans="1:24" s="1" customFormat="1" ht="11.25" customHeight="1">
      <c r="A199" s="156" t="s">
        <v>29</v>
      </c>
      <c r="B199" s="157"/>
      <c r="C199" s="157"/>
      <c r="D199" s="158"/>
      <c r="E199" s="88">
        <f>SUM(E197:E198)</f>
        <v>0</v>
      </c>
      <c r="F199" s="150">
        <f>SUM(F197:F198)</f>
        <v>0</v>
      </c>
      <c r="G199" s="149">
        <f>SUM(G197:G198)</f>
        <v>0</v>
      </c>
      <c r="H199" s="149">
        <f>SUM(H197:H198)</f>
        <v>0</v>
      </c>
      <c r="I199" s="149">
        <f>SUM(I197:I198)</f>
        <v>0</v>
      </c>
      <c r="J199" s="150">
        <f t="shared" ref="J199:T199" si="54">SUM(J197:J198)</f>
        <v>0</v>
      </c>
      <c r="K199" s="150">
        <f t="shared" si="54"/>
        <v>0</v>
      </c>
      <c r="L199" s="149">
        <f t="shared" si="54"/>
        <v>0</v>
      </c>
      <c r="M199" s="149">
        <f t="shared" si="54"/>
        <v>0</v>
      </c>
      <c r="N199" s="149">
        <f t="shared" si="54"/>
        <v>0</v>
      </c>
      <c r="O199" s="149">
        <f t="shared" si="54"/>
        <v>0</v>
      </c>
      <c r="P199" s="149">
        <f t="shared" si="54"/>
        <v>0</v>
      </c>
      <c r="Q199" s="149">
        <f t="shared" si="54"/>
        <v>0</v>
      </c>
      <c r="R199" s="151">
        <f t="shared" si="54"/>
        <v>0</v>
      </c>
      <c r="S199" s="149">
        <f t="shared" si="54"/>
        <v>0</v>
      </c>
      <c r="T199" s="150">
        <f t="shared" si="54"/>
        <v>0</v>
      </c>
      <c r="U199" s="29"/>
      <c r="V199" s="74"/>
      <c r="W199" s="74"/>
      <c r="X199" s="74"/>
    </row>
    <row r="200" spans="1:24" s="1" customFormat="1" ht="11.25" customHeight="1">
      <c r="A200" s="210" t="s">
        <v>57</v>
      </c>
      <c r="B200" s="211"/>
      <c r="C200" s="211"/>
      <c r="D200" s="212"/>
      <c r="E200" s="121"/>
      <c r="F200" s="51">
        <f>F199/F202</f>
        <v>0</v>
      </c>
      <c r="G200" s="153">
        <f t="shared" ref="G200:T200" si="55">G199/G202</f>
        <v>0</v>
      </c>
      <c r="H200" s="153">
        <f t="shared" si="55"/>
        <v>0</v>
      </c>
      <c r="I200" s="153">
        <f t="shared" si="55"/>
        <v>0</v>
      </c>
      <c r="J200" s="153">
        <f t="shared" si="55"/>
        <v>0</v>
      </c>
      <c r="K200" s="153">
        <f t="shared" si="55"/>
        <v>0</v>
      </c>
      <c r="L200" s="153">
        <f t="shared" si="55"/>
        <v>0</v>
      </c>
      <c r="M200" s="153">
        <f t="shared" si="55"/>
        <v>0</v>
      </c>
      <c r="N200" s="153">
        <f t="shared" si="55"/>
        <v>0</v>
      </c>
      <c r="O200" s="153">
        <f t="shared" si="55"/>
        <v>0</v>
      </c>
      <c r="P200" s="153">
        <f t="shared" si="55"/>
        <v>0</v>
      </c>
      <c r="Q200" s="153">
        <f t="shared" si="55"/>
        <v>0</v>
      </c>
      <c r="R200" s="153">
        <f t="shared" si="55"/>
        <v>0</v>
      </c>
      <c r="S200" s="153">
        <f t="shared" si="55"/>
        <v>0</v>
      </c>
      <c r="T200" s="153">
        <f t="shared" si="55"/>
        <v>0</v>
      </c>
      <c r="U200" s="76"/>
      <c r="V200" s="74"/>
      <c r="W200" s="74"/>
      <c r="X200" s="74"/>
    </row>
    <row r="201" spans="1:24" s="1" customFormat="1" ht="11.25" customHeight="1">
      <c r="A201" s="156" t="s">
        <v>56</v>
      </c>
      <c r="B201" s="157"/>
      <c r="C201" s="157"/>
      <c r="D201" s="61">
        <f>D183+D194</f>
        <v>1430</v>
      </c>
      <c r="E201" s="177">
        <f>E194+E183</f>
        <v>167</v>
      </c>
      <c r="F201" s="150">
        <f t="shared" ref="F201:T201" si="56">SUM(F183,F194,F199)</f>
        <v>50.56</v>
      </c>
      <c r="G201" s="149">
        <f t="shared" si="56"/>
        <v>72.165833333333325</v>
      </c>
      <c r="H201" s="149">
        <f t="shared" si="56"/>
        <v>190.97583333333336</v>
      </c>
      <c r="I201" s="149">
        <f t="shared" si="56"/>
        <v>1546.1758333333335</v>
      </c>
      <c r="J201" s="150">
        <f t="shared" si="56"/>
        <v>0.78500000000000003</v>
      </c>
      <c r="K201" s="150">
        <f t="shared" si="56"/>
        <v>0.5066666666666666</v>
      </c>
      <c r="L201" s="149">
        <f t="shared" si="56"/>
        <v>44.260833333333331</v>
      </c>
      <c r="M201" s="150">
        <f t="shared" si="56"/>
        <v>12.315333333333333</v>
      </c>
      <c r="N201" s="150">
        <f t="shared" si="56"/>
        <v>6.5615000000000006</v>
      </c>
      <c r="O201" s="149">
        <f t="shared" si="56"/>
        <v>254.68850000000003</v>
      </c>
      <c r="P201" s="149">
        <f t="shared" si="56"/>
        <v>649.59699999999998</v>
      </c>
      <c r="Q201" s="150">
        <f t="shared" si="56"/>
        <v>8.1923333333333339</v>
      </c>
      <c r="R201" s="151">
        <f t="shared" si="56"/>
        <v>2.6124666666666658</v>
      </c>
      <c r="S201" s="150">
        <f t="shared" si="56"/>
        <v>153.40649999999999</v>
      </c>
      <c r="T201" s="150">
        <f t="shared" si="56"/>
        <v>8.8145000000000007</v>
      </c>
      <c r="U201" s="31"/>
      <c r="V201" s="74"/>
      <c r="W201" s="74"/>
      <c r="X201" s="74"/>
    </row>
    <row r="202" spans="1:24" s="1" customFormat="1" ht="11.25" customHeight="1">
      <c r="A202" s="207" t="s">
        <v>58</v>
      </c>
      <c r="B202" s="208"/>
      <c r="C202" s="208"/>
      <c r="D202" s="209"/>
      <c r="E202" s="127"/>
      <c r="F202" s="163">
        <v>90</v>
      </c>
      <c r="G202" s="161">
        <v>92</v>
      </c>
      <c r="H202" s="161">
        <v>383</v>
      </c>
      <c r="I202" s="161">
        <v>2720</v>
      </c>
      <c r="J202" s="163">
        <v>1.4</v>
      </c>
      <c r="K202" s="163">
        <v>1.6</v>
      </c>
      <c r="L202" s="162">
        <v>70</v>
      </c>
      <c r="M202" s="163">
        <v>0.9</v>
      </c>
      <c r="N202" s="162">
        <v>12</v>
      </c>
      <c r="O202" s="162">
        <v>1200</v>
      </c>
      <c r="P202" s="162">
        <v>1200</v>
      </c>
      <c r="Q202" s="162">
        <v>14</v>
      </c>
      <c r="R202" s="161">
        <v>0.1</v>
      </c>
      <c r="S202" s="162">
        <v>300</v>
      </c>
      <c r="T202" s="163">
        <v>18</v>
      </c>
      <c r="U202" s="77"/>
      <c r="V202" s="78"/>
      <c r="W202" s="78"/>
      <c r="X202" s="78"/>
    </row>
    <row r="203" spans="1:24" s="1" customFormat="1" ht="11.25" customHeight="1">
      <c r="A203" s="210" t="s">
        <v>57</v>
      </c>
      <c r="B203" s="211"/>
      <c r="C203" s="211"/>
      <c r="D203" s="212"/>
      <c r="E203" s="121"/>
      <c r="F203" s="51">
        <f t="shared" ref="F203:T203" si="57">F201/F202</f>
        <v>0.56177777777777782</v>
      </c>
      <c r="G203" s="153">
        <f t="shared" si="57"/>
        <v>0.78441123188405792</v>
      </c>
      <c r="H203" s="153">
        <f t="shared" si="57"/>
        <v>0.49863141862489124</v>
      </c>
      <c r="I203" s="153">
        <f t="shared" si="57"/>
        <v>0.56844699754901962</v>
      </c>
      <c r="J203" s="153">
        <f t="shared" si="57"/>
        <v>0.56071428571428572</v>
      </c>
      <c r="K203" s="153">
        <f t="shared" si="57"/>
        <v>0.3166666666666666</v>
      </c>
      <c r="L203" s="33">
        <f t="shared" si="57"/>
        <v>0.63229761904761905</v>
      </c>
      <c r="M203" s="33">
        <f t="shared" si="57"/>
        <v>13.683703703703703</v>
      </c>
      <c r="N203" s="33">
        <f t="shared" si="57"/>
        <v>0.54679166666666668</v>
      </c>
      <c r="O203" s="153">
        <f t="shared" si="57"/>
        <v>0.21224041666666668</v>
      </c>
      <c r="P203" s="153">
        <f t="shared" si="57"/>
        <v>0.54133083333333332</v>
      </c>
      <c r="Q203" s="153">
        <f t="shared" si="57"/>
        <v>0.58516666666666672</v>
      </c>
      <c r="R203" s="33">
        <f t="shared" si="57"/>
        <v>26.124666666666656</v>
      </c>
      <c r="S203" s="153">
        <f t="shared" si="57"/>
        <v>0.511355</v>
      </c>
      <c r="T203" s="33">
        <f t="shared" si="57"/>
        <v>0.48969444444444449</v>
      </c>
      <c r="U203" s="34"/>
      <c r="V203" s="35"/>
      <c r="W203" s="35"/>
      <c r="X203" s="35"/>
    </row>
    <row r="204" spans="1:24" s="1" customFormat="1" ht="11.25" customHeight="1">
      <c r="A204" s="42"/>
      <c r="B204" s="41"/>
      <c r="C204" s="41"/>
      <c r="D204" s="144"/>
      <c r="E204" s="144"/>
      <c r="F204" s="140"/>
      <c r="G204" s="144"/>
      <c r="H204" s="144"/>
      <c r="I204" s="144"/>
      <c r="J204" s="144"/>
      <c r="K204" s="144"/>
      <c r="L204" s="144"/>
      <c r="M204" s="218" t="s">
        <v>59</v>
      </c>
      <c r="N204" s="218"/>
      <c r="O204" s="218"/>
      <c r="P204" s="218"/>
      <c r="Q204" s="218"/>
      <c r="R204" s="218"/>
      <c r="S204" s="218"/>
      <c r="T204" s="218"/>
      <c r="U204" s="10"/>
      <c r="V204" s="17"/>
      <c r="W204" s="17"/>
      <c r="X204" s="17"/>
    </row>
    <row r="205" spans="1:24" s="1" customFormat="1" ht="11.25" customHeight="1">
      <c r="A205" s="235" t="s">
        <v>39</v>
      </c>
      <c r="B205" s="235"/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  <c r="R205" s="235"/>
      <c r="S205" s="235"/>
      <c r="T205" s="235"/>
      <c r="U205" s="11"/>
      <c r="V205" s="23"/>
      <c r="W205" s="23"/>
      <c r="X205" s="23"/>
    </row>
    <row r="206" spans="1:24" s="1" customFormat="1" ht="11.25" customHeight="1">
      <c r="A206" s="43" t="s">
        <v>50</v>
      </c>
      <c r="B206" s="41"/>
      <c r="C206" s="41"/>
      <c r="D206" s="2"/>
      <c r="E206" s="2"/>
      <c r="F206" s="140"/>
      <c r="G206" s="238" t="s">
        <v>31</v>
      </c>
      <c r="H206" s="238"/>
      <c r="I206" s="238"/>
      <c r="J206" s="144"/>
      <c r="K206" s="144"/>
      <c r="L206" s="219" t="s">
        <v>1</v>
      </c>
      <c r="M206" s="219"/>
      <c r="N206" s="248"/>
      <c r="O206" s="248"/>
      <c r="P206" s="248"/>
      <c r="Q206" s="248"/>
      <c r="R206" s="144"/>
      <c r="S206" s="144"/>
      <c r="T206" s="144"/>
      <c r="U206" s="12"/>
      <c r="V206" s="18"/>
      <c r="W206" s="18"/>
      <c r="X206" s="18"/>
    </row>
    <row r="207" spans="1:24" s="1" customFormat="1" ht="11.25" customHeight="1">
      <c r="A207" s="41"/>
      <c r="B207" s="41"/>
      <c r="C207" s="41"/>
      <c r="D207" s="232" t="s">
        <v>2</v>
      </c>
      <c r="E207" s="232"/>
      <c r="F207" s="232"/>
      <c r="G207" s="5">
        <v>2</v>
      </c>
      <c r="H207" s="144"/>
      <c r="I207" s="2"/>
      <c r="J207" s="2"/>
      <c r="K207" s="2"/>
      <c r="L207" s="232" t="s">
        <v>3</v>
      </c>
      <c r="M207" s="232"/>
      <c r="N207" s="238" t="str">
        <f>N173</f>
        <v>7-11 лет;12 и старше</v>
      </c>
      <c r="O207" s="238"/>
      <c r="P207" s="238"/>
      <c r="Q207" s="238"/>
      <c r="R207" s="238"/>
      <c r="S207" s="238"/>
      <c r="T207" s="238"/>
      <c r="U207" s="13"/>
      <c r="V207" s="19"/>
      <c r="W207" s="19"/>
      <c r="X207" s="19"/>
    </row>
    <row r="208" spans="1:24" s="1" customFormat="1" ht="21.75" customHeight="1">
      <c r="A208" s="246" t="s">
        <v>4</v>
      </c>
      <c r="B208" s="239" t="s">
        <v>5</v>
      </c>
      <c r="C208" s="240"/>
      <c r="D208" s="246" t="s">
        <v>6</v>
      </c>
      <c r="E208" s="124"/>
      <c r="F208" s="228" t="s">
        <v>7</v>
      </c>
      <c r="G208" s="229"/>
      <c r="H208" s="230"/>
      <c r="I208" s="246" t="s">
        <v>8</v>
      </c>
      <c r="J208" s="228" t="s">
        <v>9</v>
      </c>
      <c r="K208" s="229"/>
      <c r="L208" s="229"/>
      <c r="M208" s="229"/>
      <c r="N208" s="230"/>
      <c r="O208" s="228" t="s">
        <v>10</v>
      </c>
      <c r="P208" s="229"/>
      <c r="Q208" s="229"/>
      <c r="R208" s="229"/>
      <c r="S208" s="229"/>
      <c r="T208" s="230"/>
      <c r="U208" s="7"/>
      <c r="V208" s="20"/>
      <c r="W208" s="20"/>
      <c r="X208" s="20"/>
    </row>
    <row r="209" spans="1:25" s="1" customFormat="1" ht="21" customHeight="1">
      <c r="A209" s="247"/>
      <c r="B209" s="241"/>
      <c r="C209" s="242"/>
      <c r="D209" s="247"/>
      <c r="E209" s="123"/>
      <c r="F209" s="57" t="s">
        <v>11</v>
      </c>
      <c r="G209" s="129" t="s">
        <v>12</v>
      </c>
      <c r="H209" s="129" t="s">
        <v>13</v>
      </c>
      <c r="I209" s="247"/>
      <c r="J209" s="129" t="s">
        <v>14</v>
      </c>
      <c r="K209" s="129" t="s">
        <v>52</v>
      </c>
      <c r="L209" s="129" t="s">
        <v>15</v>
      </c>
      <c r="M209" s="129" t="s">
        <v>16</v>
      </c>
      <c r="N209" s="129" t="s">
        <v>17</v>
      </c>
      <c r="O209" s="129" t="s">
        <v>18</v>
      </c>
      <c r="P209" s="129" t="s">
        <v>19</v>
      </c>
      <c r="Q209" s="129" t="s">
        <v>53</v>
      </c>
      <c r="R209" s="129" t="s">
        <v>54</v>
      </c>
      <c r="S209" s="129" t="s">
        <v>20</v>
      </c>
      <c r="T209" s="129" t="s">
        <v>21</v>
      </c>
      <c r="U209" s="7"/>
      <c r="V209" s="20"/>
      <c r="W209" s="20"/>
      <c r="X209" s="20"/>
    </row>
    <row r="210" spans="1:25" s="1" customFormat="1" ht="11.25" customHeight="1">
      <c r="A210" s="172">
        <v>1</v>
      </c>
      <c r="B210" s="226">
        <v>2</v>
      </c>
      <c r="C210" s="227"/>
      <c r="D210" s="28">
        <v>3</v>
      </c>
      <c r="E210" s="28"/>
      <c r="F210" s="28">
        <v>4</v>
      </c>
      <c r="G210" s="28">
        <v>5</v>
      </c>
      <c r="H210" s="28">
        <v>6</v>
      </c>
      <c r="I210" s="28">
        <v>7</v>
      </c>
      <c r="J210" s="28">
        <v>8</v>
      </c>
      <c r="K210" s="28">
        <v>9</v>
      </c>
      <c r="L210" s="28">
        <v>10</v>
      </c>
      <c r="M210" s="28">
        <v>11</v>
      </c>
      <c r="N210" s="28">
        <v>12</v>
      </c>
      <c r="O210" s="28">
        <v>13</v>
      </c>
      <c r="P210" s="28">
        <v>14</v>
      </c>
      <c r="Q210" s="28">
        <v>15</v>
      </c>
      <c r="R210" s="28">
        <v>16</v>
      </c>
      <c r="S210" s="28">
        <v>17</v>
      </c>
      <c r="T210" s="28">
        <v>18</v>
      </c>
      <c r="U210" s="8"/>
      <c r="V210" s="21"/>
      <c r="W210" s="21"/>
      <c r="X210" s="21"/>
    </row>
    <row r="211" spans="1:25" s="1" customFormat="1" ht="11.25" customHeight="1">
      <c r="A211" s="215" t="s">
        <v>111</v>
      </c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7"/>
      <c r="U211" s="9"/>
      <c r="V211" s="22"/>
      <c r="W211" s="22"/>
      <c r="X211" s="22"/>
    </row>
    <row r="212" spans="1:25" s="137" customFormat="1" ht="20.25" customHeight="1">
      <c r="A212" s="190" t="s">
        <v>60</v>
      </c>
      <c r="B212" s="231" t="s">
        <v>80</v>
      </c>
      <c r="C212" s="231"/>
      <c r="D212" s="191">
        <v>20</v>
      </c>
      <c r="E212" s="192">
        <v>8</v>
      </c>
      <c r="F212" s="192">
        <v>1.25</v>
      </c>
      <c r="G212" s="192"/>
      <c r="H212" s="192">
        <v>9.5</v>
      </c>
      <c r="I212" s="192">
        <v>43</v>
      </c>
      <c r="J212" s="192">
        <v>8.0000000000000002E-3</v>
      </c>
      <c r="K212" s="192">
        <v>7.0000000000000001E-3</v>
      </c>
      <c r="L212" s="192">
        <v>0.16</v>
      </c>
      <c r="M212" s="192">
        <v>8.0000000000000002E-3</v>
      </c>
      <c r="N212" s="192">
        <v>0.03</v>
      </c>
      <c r="O212" s="192">
        <v>51.16</v>
      </c>
      <c r="P212" s="192">
        <v>36.5</v>
      </c>
      <c r="Q212" s="192">
        <v>0.16</v>
      </c>
      <c r="R212" s="192">
        <v>2E-3</v>
      </c>
      <c r="S212" s="192">
        <v>5.66</v>
      </c>
      <c r="T212" s="192">
        <v>0.03</v>
      </c>
      <c r="U212" s="68"/>
      <c r="V212" s="68"/>
      <c r="W212" s="68"/>
      <c r="X212" s="68"/>
      <c r="Y212" s="68"/>
    </row>
    <row r="213" spans="1:25" s="137" customFormat="1" ht="11.25" customHeight="1">
      <c r="A213" s="194">
        <v>222</v>
      </c>
      <c r="B213" s="233" t="s">
        <v>79</v>
      </c>
      <c r="C213" s="234"/>
      <c r="D213" s="191">
        <v>150</v>
      </c>
      <c r="E213" s="192">
        <v>45.1</v>
      </c>
      <c r="F213" s="67">
        <v>13.164999999999999</v>
      </c>
      <c r="G213" s="67">
        <v>12.68</v>
      </c>
      <c r="H213" s="67">
        <v>27.803000000000001</v>
      </c>
      <c r="I213" s="67">
        <v>278.065</v>
      </c>
      <c r="J213" s="67">
        <v>0.23</v>
      </c>
      <c r="K213" s="67">
        <v>0.36</v>
      </c>
      <c r="L213" s="67">
        <v>0.82</v>
      </c>
      <c r="M213" s="67">
        <v>0.18</v>
      </c>
      <c r="N213" s="67">
        <v>1.2</v>
      </c>
      <c r="O213" s="67">
        <v>190.55</v>
      </c>
      <c r="P213" s="67">
        <v>365.82</v>
      </c>
      <c r="Q213" s="67">
        <v>1.0589999999999999</v>
      </c>
      <c r="R213" s="67">
        <v>1.7999999999999999E-2</v>
      </c>
      <c r="S213" s="67">
        <v>82.83</v>
      </c>
      <c r="T213" s="67">
        <v>2.23</v>
      </c>
      <c r="U213" s="68"/>
      <c r="V213" s="68"/>
      <c r="W213" s="68"/>
      <c r="X213" s="68"/>
      <c r="Y213" s="68"/>
    </row>
    <row r="214" spans="1:25" s="137" customFormat="1" ht="12.75" customHeight="1">
      <c r="A214" s="172">
        <v>377</v>
      </c>
      <c r="B214" s="203" t="s">
        <v>43</v>
      </c>
      <c r="C214" s="203"/>
      <c r="D214" s="162">
        <v>200</v>
      </c>
      <c r="E214" s="163">
        <v>3.81</v>
      </c>
      <c r="F214" s="163">
        <v>0.26</v>
      </c>
      <c r="G214" s="163">
        <v>0.06</v>
      </c>
      <c r="H214" s="163">
        <v>15.22</v>
      </c>
      <c r="I214" s="163">
        <f>F214*4+G214*9+H214*4</f>
        <v>62.46</v>
      </c>
      <c r="J214" s="163"/>
      <c r="K214" s="163">
        <v>0.01</v>
      </c>
      <c r="L214" s="163">
        <v>2.9</v>
      </c>
      <c r="M214" s="160">
        <v>0</v>
      </c>
      <c r="N214" s="163">
        <v>0.06</v>
      </c>
      <c r="O214" s="163">
        <v>8.0500000000000007</v>
      </c>
      <c r="P214" s="163">
        <v>9.7799999999999994</v>
      </c>
      <c r="Q214" s="163">
        <v>1.7000000000000001E-2</v>
      </c>
      <c r="R214" s="164">
        <v>0</v>
      </c>
      <c r="S214" s="163">
        <v>5.24</v>
      </c>
      <c r="T214" s="163">
        <v>0.87</v>
      </c>
      <c r="U214" s="141"/>
      <c r="V214" s="142"/>
      <c r="W214" s="142"/>
      <c r="X214" s="142"/>
    </row>
    <row r="215" spans="1:25" s="137" customFormat="1" ht="11.25" customHeight="1">
      <c r="A215" s="174">
        <v>338</v>
      </c>
      <c r="B215" s="203" t="s">
        <v>87</v>
      </c>
      <c r="C215" s="203"/>
      <c r="D215" s="162">
        <v>130</v>
      </c>
      <c r="E215" s="163">
        <v>16.09</v>
      </c>
      <c r="F215" s="163">
        <v>0.4</v>
      </c>
      <c r="G215" s="163">
        <v>0.4</v>
      </c>
      <c r="H215" s="163">
        <v>9.8000000000000007</v>
      </c>
      <c r="I215" s="163">
        <f>F215*4+G215*9+H215*4</f>
        <v>44.400000000000006</v>
      </c>
      <c r="J215" s="163">
        <v>0.04</v>
      </c>
      <c r="K215" s="163">
        <v>0.02</v>
      </c>
      <c r="L215" s="162">
        <v>10</v>
      </c>
      <c r="M215" s="162">
        <v>0.02</v>
      </c>
      <c r="N215" s="163">
        <v>0.2</v>
      </c>
      <c r="O215" s="163">
        <v>16</v>
      </c>
      <c r="P215" s="163">
        <v>11</v>
      </c>
      <c r="Q215" s="162">
        <v>0.03</v>
      </c>
      <c r="R215" s="162">
        <v>2E-3</v>
      </c>
      <c r="S215" s="163">
        <v>9</v>
      </c>
      <c r="T215" s="163">
        <v>2.2000000000000002</v>
      </c>
      <c r="U215" s="141"/>
      <c r="V215" s="138"/>
      <c r="W215" s="138"/>
      <c r="X215" s="139"/>
    </row>
    <row r="216" spans="1:25" s="73" customFormat="1" ht="11.25" customHeight="1">
      <c r="A216" s="46" t="s">
        <v>25</v>
      </c>
      <c r="B216" s="47"/>
      <c r="C216" s="47"/>
      <c r="D216" s="158">
        <f>SUM(D212:D215)</f>
        <v>500</v>
      </c>
      <c r="E216" s="175">
        <f t="shared" ref="E216:T216" si="58">SUM(E212:E215)</f>
        <v>73</v>
      </c>
      <c r="F216" s="150">
        <f t="shared" si="58"/>
        <v>15.074999999999999</v>
      </c>
      <c r="G216" s="150">
        <f t="shared" si="58"/>
        <v>13.14</v>
      </c>
      <c r="H216" s="150">
        <f t="shared" si="58"/>
        <v>62.322999999999993</v>
      </c>
      <c r="I216" s="150">
        <f t="shared" si="58"/>
        <v>427.92499999999995</v>
      </c>
      <c r="J216" s="150">
        <f t="shared" si="58"/>
        <v>0.27800000000000002</v>
      </c>
      <c r="K216" s="150">
        <f t="shared" si="58"/>
        <v>0.39700000000000002</v>
      </c>
      <c r="L216" s="150">
        <f t="shared" si="58"/>
        <v>13.879999999999999</v>
      </c>
      <c r="M216" s="150">
        <f t="shared" si="58"/>
        <v>0.20799999999999999</v>
      </c>
      <c r="N216" s="150">
        <f t="shared" si="58"/>
        <v>1.49</v>
      </c>
      <c r="O216" s="150">
        <f t="shared" si="58"/>
        <v>265.76</v>
      </c>
      <c r="P216" s="150">
        <f t="shared" si="58"/>
        <v>423.09999999999997</v>
      </c>
      <c r="Q216" s="150">
        <f t="shared" si="58"/>
        <v>1.2659999999999998</v>
      </c>
      <c r="R216" s="150">
        <f t="shared" si="58"/>
        <v>2.1999999999999999E-2</v>
      </c>
      <c r="S216" s="150">
        <f t="shared" si="58"/>
        <v>102.72999999999999</v>
      </c>
      <c r="T216" s="150">
        <f t="shared" si="58"/>
        <v>5.33</v>
      </c>
      <c r="U216" s="29"/>
      <c r="V216" s="74"/>
      <c r="W216" s="74"/>
      <c r="X216" s="74"/>
    </row>
    <row r="217" spans="1:25" s="73" customFormat="1" ht="11.25" customHeight="1">
      <c r="A217" s="210" t="s">
        <v>57</v>
      </c>
      <c r="B217" s="211"/>
      <c r="C217" s="211"/>
      <c r="D217" s="212"/>
      <c r="E217" s="173"/>
      <c r="F217" s="171">
        <f t="shared" ref="F217:T217" si="59">F216/F234</f>
        <v>0.16749999999999998</v>
      </c>
      <c r="G217" s="153">
        <f t="shared" si="59"/>
        <v>0.14282608695652174</v>
      </c>
      <c r="H217" s="153">
        <f t="shared" si="59"/>
        <v>0.16272323759791121</v>
      </c>
      <c r="I217" s="153">
        <f t="shared" si="59"/>
        <v>0.15732536764705882</v>
      </c>
      <c r="J217" s="153">
        <f t="shared" si="59"/>
        <v>0.19857142857142859</v>
      </c>
      <c r="K217" s="153">
        <f t="shared" si="59"/>
        <v>0.24812500000000001</v>
      </c>
      <c r="L217" s="153">
        <f t="shared" si="59"/>
        <v>0.19828571428571426</v>
      </c>
      <c r="M217" s="153">
        <f t="shared" si="59"/>
        <v>0.2311111111111111</v>
      </c>
      <c r="N217" s="153">
        <f t="shared" si="59"/>
        <v>0.12416666666666666</v>
      </c>
      <c r="O217" s="153">
        <f t="shared" si="59"/>
        <v>0.22146666666666667</v>
      </c>
      <c r="P217" s="153">
        <f t="shared" si="59"/>
        <v>0.3525833333333333</v>
      </c>
      <c r="Q217" s="153">
        <f t="shared" si="59"/>
        <v>9.0428571428571414E-2</v>
      </c>
      <c r="R217" s="153">
        <f t="shared" si="59"/>
        <v>0.21999999999999997</v>
      </c>
      <c r="S217" s="153">
        <f t="shared" si="59"/>
        <v>0.34243333333333331</v>
      </c>
      <c r="T217" s="153">
        <f t="shared" si="59"/>
        <v>0.2961111111111111</v>
      </c>
      <c r="U217" s="76"/>
      <c r="V217" s="74"/>
      <c r="W217" s="74"/>
      <c r="X217" s="74"/>
    </row>
    <row r="218" spans="1:25" s="73" customFormat="1" ht="11.25" customHeight="1">
      <c r="A218" s="251" t="s">
        <v>26</v>
      </c>
      <c r="B218" s="252"/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2"/>
      <c r="S218" s="252"/>
      <c r="T218" s="253"/>
      <c r="U218" s="14"/>
      <c r="V218" s="24"/>
      <c r="W218" s="24"/>
      <c r="X218" s="24"/>
    </row>
    <row r="219" spans="1:25" s="107" customFormat="1" ht="20.25" customHeight="1">
      <c r="A219" s="159">
        <v>71</v>
      </c>
      <c r="B219" s="201" t="s">
        <v>110</v>
      </c>
      <c r="C219" s="202"/>
      <c r="D219" s="168">
        <v>60</v>
      </c>
      <c r="E219" s="168">
        <v>15.11</v>
      </c>
      <c r="F219" s="176">
        <f>0.5*D219/60</f>
        <v>0.5</v>
      </c>
      <c r="G219" s="176">
        <f>0.03*D219/30</f>
        <v>5.9999999999999991E-2</v>
      </c>
      <c r="H219" s="176">
        <f>1.7*D219/60</f>
        <v>1.7</v>
      </c>
      <c r="I219" s="176">
        <f>F219*4+G219*9+H219*4</f>
        <v>9.34</v>
      </c>
      <c r="J219" s="169">
        <v>8.9999999999999993E-3</v>
      </c>
      <c r="K219" s="176">
        <v>0.01</v>
      </c>
      <c r="L219" s="170">
        <v>3</v>
      </c>
      <c r="M219" s="169">
        <v>3.0000000000000001E-3</v>
      </c>
      <c r="N219" s="168">
        <v>0.03</v>
      </c>
      <c r="O219" s="176">
        <v>6.9</v>
      </c>
      <c r="P219" s="176">
        <v>12.6</v>
      </c>
      <c r="Q219" s="169">
        <v>6.4000000000000001E-2</v>
      </c>
      <c r="R219" s="169">
        <v>1E-3</v>
      </c>
      <c r="S219" s="176">
        <v>4.2</v>
      </c>
      <c r="T219" s="176">
        <v>0.18</v>
      </c>
      <c r="U219" s="110"/>
      <c r="V219" s="111"/>
      <c r="W219" s="111"/>
      <c r="X219" s="111"/>
    </row>
    <row r="220" spans="1:25" s="180" customFormat="1" ht="15" customHeight="1">
      <c r="A220" s="172">
        <v>102</v>
      </c>
      <c r="B220" s="201" t="s">
        <v>75</v>
      </c>
      <c r="C220" s="202"/>
      <c r="D220" s="160">
        <v>15.11</v>
      </c>
      <c r="E220" s="163">
        <v>10.45</v>
      </c>
      <c r="F220" s="163">
        <v>6.22</v>
      </c>
      <c r="G220" s="163">
        <v>3.99</v>
      </c>
      <c r="H220" s="163">
        <v>21.73</v>
      </c>
      <c r="I220" s="163">
        <v>147.71</v>
      </c>
      <c r="J220" s="163">
        <v>0.27</v>
      </c>
      <c r="K220" s="163">
        <v>0.09</v>
      </c>
      <c r="L220" s="163">
        <v>9</v>
      </c>
      <c r="M220" s="164">
        <v>1E-3</v>
      </c>
      <c r="N220" s="163">
        <v>0.25700000000000001</v>
      </c>
      <c r="O220" s="163">
        <v>54.13</v>
      </c>
      <c r="P220" s="163">
        <v>183.2</v>
      </c>
      <c r="Q220" s="163">
        <v>1.157</v>
      </c>
      <c r="R220" s="164">
        <v>1.2999999999999999E-2</v>
      </c>
      <c r="S220" s="163">
        <v>49.63</v>
      </c>
      <c r="T220" s="163">
        <v>1.03</v>
      </c>
      <c r="U220" s="178"/>
      <c r="V220" s="179"/>
      <c r="W220" s="179"/>
      <c r="X220" s="179"/>
    </row>
    <row r="221" spans="1:25" s="180" customFormat="1" ht="12.75" customHeight="1">
      <c r="A221" s="172">
        <v>293</v>
      </c>
      <c r="B221" s="201" t="s">
        <v>84</v>
      </c>
      <c r="C221" s="202"/>
      <c r="D221" s="162">
        <v>110</v>
      </c>
      <c r="E221" s="163">
        <v>44.04</v>
      </c>
      <c r="F221" s="163">
        <v>33.090000000000003</v>
      </c>
      <c r="G221" s="163">
        <v>27.34</v>
      </c>
      <c r="H221" s="163">
        <v>8.82</v>
      </c>
      <c r="I221" s="163">
        <v>414.37</v>
      </c>
      <c r="J221" s="163">
        <v>0.09</v>
      </c>
      <c r="K221" s="163">
        <v>0</v>
      </c>
      <c r="L221" s="163">
        <v>4.4999999999999998E-2</v>
      </c>
      <c r="M221" s="162">
        <v>80.62</v>
      </c>
      <c r="N221" s="160">
        <v>0</v>
      </c>
      <c r="O221" s="161">
        <v>102.19</v>
      </c>
      <c r="P221" s="163">
        <v>249.19</v>
      </c>
      <c r="Q221" s="162">
        <v>0</v>
      </c>
      <c r="R221" s="162">
        <v>0</v>
      </c>
      <c r="S221" s="163">
        <v>38.07</v>
      </c>
      <c r="T221" s="163">
        <v>3.04</v>
      </c>
      <c r="U221" s="178"/>
      <c r="V221" s="179"/>
      <c r="W221" s="179"/>
      <c r="X221" s="179"/>
    </row>
    <row r="222" spans="1:25" s="180" customFormat="1" ht="12.75" customHeight="1">
      <c r="A222" s="167">
        <v>171</v>
      </c>
      <c r="B222" s="201" t="s">
        <v>22</v>
      </c>
      <c r="C222" s="202"/>
      <c r="D222" s="162">
        <v>180</v>
      </c>
      <c r="E222" s="163">
        <v>14.6</v>
      </c>
      <c r="F222" s="163">
        <f>6.57*D222/150</f>
        <v>7.8840000000000012</v>
      </c>
      <c r="G222" s="163">
        <f>4.19*D222/150</f>
        <v>5.0280000000000005</v>
      </c>
      <c r="H222" s="163">
        <f>32.32*D222/150</f>
        <v>38.783999999999999</v>
      </c>
      <c r="I222" s="163">
        <f>F222*4+G222*9+H222*4</f>
        <v>231.92400000000001</v>
      </c>
      <c r="J222" s="164">
        <f>0.06*D222/150</f>
        <v>7.1999999999999995E-2</v>
      </c>
      <c r="K222" s="164">
        <f>0.03*D222/150</f>
        <v>3.5999999999999997E-2</v>
      </c>
      <c r="L222" s="160">
        <v>0</v>
      </c>
      <c r="M222" s="164">
        <f>0.03*D222/150</f>
        <v>3.5999999999999997E-2</v>
      </c>
      <c r="N222" s="160">
        <f>2.55*D222/150</f>
        <v>3.0599999999999996</v>
      </c>
      <c r="O222" s="163">
        <f>18.12*D222/150</f>
        <v>21.744000000000003</v>
      </c>
      <c r="P222" s="163">
        <f>157.03*D222/150</f>
        <v>188.43600000000001</v>
      </c>
      <c r="Q222" s="164">
        <f>0.8874*D222/150</f>
        <v>1.06488</v>
      </c>
      <c r="R222" s="164">
        <f>0.00135*D222/150</f>
        <v>1.6200000000000001E-3</v>
      </c>
      <c r="S222" s="163">
        <f>104.45*D222/150</f>
        <v>125.34</v>
      </c>
      <c r="T222" s="163">
        <f>3.55*D222/150</f>
        <v>4.26</v>
      </c>
      <c r="U222" s="178"/>
      <c r="V222" s="179"/>
      <c r="W222" s="179"/>
      <c r="X222" s="179"/>
    </row>
    <row r="223" spans="1:25" s="184" customFormat="1">
      <c r="A223" s="90">
        <v>699</v>
      </c>
      <c r="B223" s="250" t="s">
        <v>97</v>
      </c>
      <c r="C223" s="214"/>
      <c r="D223" s="80">
        <v>200</v>
      </c>
      <c r="E223" s="81">
        <v>5.2</v>
      </c>
      <c r="F223" s="81">
        <v>0.1</v>
      </c>
      <c r="G223" s="82">
        <v>0</v>
      </c>
      <c r="H223" s="83">
        <v>15.7</v>
      </c>
      <c r="I223" s="81">
        <v>63.2</v>
      </c>
      <c r="J223" s="82">
        <v>1.7999999999999999E-2</v>
      </c>
      <c r="K223" s="82">
        <v>1.2E-2</v>
      </c>
      <c r="L223" s="83">
        <v>8</v>
      </c>
      <c r="M223" s="82">
        <v>0</v>
      </c>
      <c r="N223" s="81">
        <v>0.2</v>
      </c>
      <c r="O223" s="81">
        <v>10.8</v>
      </c>
      <c r="P223" s="81">
        <v>1.7</v>
      </c>
      <c r="Q223" s="81">
        <v>0</v>
      </c>
      <c r="R223" s="84">
        <v>0</v>
      </c>
      <c r="S223" s="81">
        <v>5.8</v>
      </c>
      <c r="T223" s="81">
        <v>1.6</v>
      </c>
    </row>
    <row r="224" spans="1:25" s="180" customFormat="1" ht="11.25" customHeight="1">
      <c r="A224" s="52" t="s">
        <v>60</v>
      </c>
      <c r="B224" s="201" t="s">
        <v>44</v>
      </c>
      <c r="C224" s="202"/>
      <c r="D224" s="162">
        <v>40</v>
      </c>
      <c r="E224" s="163">
        <v>2.08</v>
      </c>
      <c r="F224" s="163">
        <f>2.64*D224/40</f>
        <v>2.64</v>
      </c>
      <c r="G224" s="163">
        <f>0.48*D224/40</f>
        <v>0.48</v>
      </c>
      <c r="H224" s="163">
        <f>13.68*D224/40</f>
        <v>13.680000000000001</v>
      </c>
      <c r="I224" s="161">
        <f>F224*4+G224*9+H224*4</f>
        <v>69.600000000000009</v>
      </c>
      <c r="J224" s="160">
        <f>0.08*D224/40</f>
        <v>0.08</v>
      </c>
      <c r="K224" s="163">
        <f>0.04*D224/40</f>
        <v>0.04</v>
      </c>
      <c r="L224" s="162">
        <v>0</v>
      </c>
      <c r="M224" s="162">
        <v>0</v>
      </c>
      <c r="N224" s="163">
        <f>2.4*D224/40</f>
        <v>2.4</v>
      </c>
      <c r="O224" s="163">
        <f>14*D224/40</f>
        <v>14</v>
      </c>
      <c r="P224" s="163">
        <f>63.2*D224/40</f>
        <v>63.2</v>
      </c>
      <c r="Q224" s="163">
        <f>1.2*D224/40</f>
        <v>1.2</v>
      </c>
      <c r="R224" s="164">
        <f>0.001*D224/40</f>
        <v>1E-3</v>
      </c>
      <c r="S224" s="163">
        <f>9.4*D224/40</f>
        <v>9.4</v>
      </c>
      <c r="T224" s="160">
        <f>0.78*D224/40</f>
        <v>0.78</v>
      </c>
      <c r="U224" s="188"/>
      <c r="V224" s="189"/>
      <c r="W224" s="189"/>
      <c r="X224" s="189"/>
    </row>
    <row r="225" spans="1:24" s="73" customFormat="1" ht="11.25" customHeight="1">
      <c r="A225" s="167" t="s">
        <v>60</v>
      </c>
      <c r="B225" s="201" t="s">
        <v>49</v>
      </c>
      <c r="C225" s="202"/>
      <c r="D225" s="162">
        <v>30</v>
      </c>
      <c r="E225" s="163">
        <v>2.52</v>
      </c>
      <c r="F225" s="163">
        <f>1.52*D225/30</f>
        <v>1.52</v>
      </c>
      <c r="G225" s="164">
        <f>0.16*D225/30</f>
        <v>0.16</v>
      </c>
      <c r="H225" s="164">
        <f>9.84*D225/30</f>
        <v>9.84</v>
      </c>
      <c r="I225" s="164">
        <f>F225*4+G225*9+H225*4</f>
        <v>46.879999999999995</v>
      </c>
      <c r="J225" s="164">
        <f>0.02*D225/30</f>
        <v>0.02</v>
      </c>
      <c r="K225" s="164">
        <f>0.01*D225/30</f>
        <v>0.01</v>
      </c>
      <c r="L225" s="164">
        <f>0.44*D225/30</f>
        <v>0.44</v>
      </c>
      <c r="M225" s="164">
        <v>0</v>
      </c>
      <c r="N225" s="164">
        <f>0.7*D225/30</f>
        <v>0.7</v>
      </c>
      <c r="O225" s="164">
        <f>4*D225/30</f>
        <v>4</v>
      </c>
      <c r="P225" s="164">
        <f>13*D225/30</f>
        <v>13</v>
      </c>
      <c r="Q225" s="164">
        <f>0.008*D225/30</f>
        <v>8.0000000000000002E-3</v>
      </c>
      <c r="R225" s="164">
        <f>0.001*D225/30</f>
        <v>1E-3</v>
      </c>
      <c r="S225" s="164">
        <v>0</v>
      </c>
      <c r="T225" s="164">
        <f>0.22*D225/30</f>
        <v>0.22</v>
      </c>
      <c r="U225" s="77"/>
      <c r="V225" s="78"/>
      <c r="W225" s="78"/>
      <c r="X225" s="78"/>
    </row>
    <row r="226" spans="1:24" s="73" customFormat="1" ht="22.5" customHeight="1">
      <c r="A226" s="156" t="s">
        <v>27</v>
      </c>
      <c r="B226" s="157"/>
      <c r="C226" s="157"/>
      <c r="D226" s="61">
        <f t="shared" ref="D226:I226" si="60">SUM(D219:D225)</f>
        <v>635.11</v>
      </c>
      <c r="E226" s="198">
        <f t="shared" si="60"/>
        <v>93.999999999999986</v>
      </c>
      <c r="F226" s="150">
        <f t="shared" si="60"/>
        <v>51.954000000000008</v>
      </c>
      <c r="G226" s="149">
        <f t="shared" si="60"/>
        <v>37.057999999999993</v>
      </c>
      <c r="H226" s="149">
        <f t="shared" si="60"/>
        <v>110.254</v>
      </c>
      <c r="I226" s="149">
        <f t="shared" si="60"/>
        <v>983.02400000000011</v>
      </c>
      <c r="J226" s="150">
        <f t="shared" ref="J226:T226" si="61">SUM(J219:J225)</f>
        <v>0.55900000000000005</v>
      </c>
      <c r="K226" s="150">
        <f t="shared" si="61"/>
        <v>0.19800000000000001</v>
      </c>
      <c r="L226" s="149">
        <f t="shared" si="61"/>
        <v>20.485000000000003</v>
      </c>
      <c r="M226" s="150">
        <f t="shared" si="61"/>
        <v>80.660000000000011</v>
      </c>
      <c r="N226" s="151">
        <f t="shared" si="61"/>
        <v>6.6469999999999994</v>
      </c>
      <c r="O226" s="150">
        <f t="shared" si="61"/>
        <v>213.76400000000001</v>
      </c>
      <c r="P226" s="149">
        <f t="shared" si="61"/>
        <v>711.32600000000014</v>
      </c>
      <c r="Q226" s="150">
        <f t="shared" si="61"/>
        <v>3.4938799999999999</v>
      </c>
      <c r="R226" s="150">
        <f t="shared" si="61"/>
        <v>1.762E-2</v>
      </c>
      <c r="S226" s="150">
        <f t="shared" si="61"/>
        <v>232.44000000000003</v>
      </c>
      <c r="T226" s="150">
        <f t="shared" si="61"/>
        <v>11.11</v>
      </c>
      <c r="U226" s="29"/>
      <c r="V226" s="74"/>
      <c r="W226" s="74"/>
      <c r="X226" s="74"/>
    </row>
    <row r="227" spans="1:24" s="73" customFormat="1">
      <c r="A227" s="210" t="s">
        <v>57</v>
      </c>
      <c r="B227" s="211"/>
      <c r="C227" s="211"/>
      <c r="D227" s="212"/>
      <c r="E227" s="173"/>
      <c r="F227" s="171">
        <f t="shared" ref="F227:T227" si="62">F226/F234</f>
        <v>0.57726666666666671</v>
      </c>
      <c r="G227" s="153">
        <f t="shared" si="62"/>
        <v>0.40280434782608687</v>
      </c>
      <c r="H227" s="153">
        <f t="shared" si="62"/>
        <v>0.28786945169712796</v>
      </c>
      <c r="I227" s="153">
        <f t="shared" si="62"/>
        <v>0.36140588235294124</v>
      </c>
      <c r="J227" s="153">
        <f t="shared" si="62"/>
        <v>0.39928571428571435</v>
      </c>
      <c r="K227" s="153">
        <f t="shared" si="62"/>
        <v>0.12375</v>
      </c>
      <c r="L227" s="153">
        <f t="shared" si="62"/>
        <v>0.2926428571428572</v>
      </c>
      <c r="M227" s="153">
        <f t="shared" si="62"/>
        <v>89.622222222222234</v>
      </c>
      <c r="N227" s="153">
        <f t="shared" si="62"/>
        <v>0.55391666666666661</v>
      </c>
      <c r="O227" s="153">
        <f t="shared" si="62"/>
        <v>0.17813666666666667</v>
      </c>
      <c r="P227" s="153">
        <f t="shared" si="62"/>
        <v>0.59277166666666681</v>
      </c>
      <c r="Q227" s="153">
        <f t="shared" si="62"/>
        <v>0.24956285714285714</v>
      </c>
      <c r="R227" s="153">
        <f t="shared" si="62"/>
        <v>0.1762</v>
      </c>
      <c r="S227" s="153">
        <f t="shared" si="62"/>
        <v>0.77480000000000004</v>
      </c>
      <c r="T227" s="153">
        <f t="shared" si="62"/>
        <v>0.61722222222222223</v>
      </c>
      <c r="U227" s="76"/>
      <c r="V227" s="74"/>
      <c r="W227" s="74"/>
      <c r="X227" s="74"/>
    </row>
    <row r="228" spans="1:24" s="73" customFormat="1" ht="15" customHeight="1">
      <c r="A228" s="260" t="s">
        <v>28</v>
      </c>
      <c r="B228" s="261"/>
      <c r="C228" s="261"/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261"/>
      <c r="T228" s="262"/>
      <c r="U228" s="9"/>
      <c r="V228" s="22"/>
      <c r="W228" s="22"/>
      <c r="X228" s="22"/>
    </row>
    <row r="229" spans="1:24" s="68" customFormat="1" ht="11.25" customHeight="1">
      <c r="A229" s="194"/>
      <c r="B229" s="256"/>
      <c r="C229" s="257"/>
      <c r="D229" s="191"/>
      <c r="E229" s="192"/>
      <c r="F229" s="192"/>
      <c r="G229" s="192"/>
      <c r="H229" s="192"/>
      <c r="I229" s="192"/>
      <c r="J229" s="192"/>
      <c r="K229" s="192"/>
      <c r="L229" s="197"/>
      <c r="M229" s="192"/>
      <c r="N229" s="196"/>
      <c r="O229" s="197"/>
      <c r="P229" s="192"/>
      <c r="Q229" s="197"/>
      <c r="R229" s="191"/>
      <c r="S229" s="192"/>
      <c r="T229" s="192"/>
    </row>
    <row r="230" spans="1:24" s="68" customFormat="1" ht="11.25" customHeight="1">
      <c r="A230" s="87"/>
      <c r="B230" s="263"/>
      <c r="C230" s="264"/>
      <c r="D230" s="71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</row>
    <row r="231" spans="1:24" s="1" customFormat="1" ht="11.25" customHeight="1">
      <c r="A231" s="156" t="s">
        <v>29</v>
      </c>
      <c r="B231" s="157"/>
      <c r="C231" s="157"/>
      <c r="D231" s="158">
        <f t="shared" ref="D231:T231" si="63">SUM(D229:D230)</f>
        <v>0</v>
      </c>
      <c r="E231" s="175">
        <f t="shared" si="63"/>
        <v>0</v>
      </c>
      <c r="F231" s="150">
        <f t="shared" si="63"/>
        <v>0</v>
      </c>
      <c r="G231" s="149">
        <f t="shared" si="63"/>
        <v>0</v>
      </c>
      <c r="H231" s="149">
        <f t="shared" si="63"/>
        <v>0</v>
      </c>
      <c r="I231" s="149">
        <f t="shared" si="63"/>
        <v>0</v>
      </c>
      <c r="J231" s="149">
        <f t="shared" si="63"/>
        <v>0</v>
      </c>
      <c r="K231" s="149">
        <f t="shared" si="63"/>
        <v>0</v>
      </c>
      <c r="L231" s="149">
        <f t="shared" si="63"/>
        <v>0</v>
      </c>
      <c r="M231" s="149">
        <f t="shared" si="63"/>
        <v>0</v>
      </c>
      <c r="N231" s="149">
        <f t="shared" si="63"/>
        <v>0</v>
      </c>
      <c r="O231" s="149">
        <f t="shared" si="63"/>
        <v>0</v>
      </c>
      <c r="P231" s="149">
        <f t="shared" si="63"/>
        <v>0</v>
      </c>
      <c r="Q231" s="149">
        <f t="shared" si="63"/>
        <v>0</v>
      </c>
      <c r="R231" s="151">
        <f t="shared" si="63"/>
        <v>0</v>
      </c>
      <c r="S231" s="149">
        <f t="shared" si="63"/>
        <v>0</v>
      </c>
      <c r="T231" s="149">
        <f t="shared" si="63"/>
        <v>0</v>
      </c>
      <c r="U231" s="29"/>
      <c r="V231" s="74"/>
      <c r="W231" s="74"/>
      <c r="X231" s="74"/>
    </row>
    <row r="232" spans="1:24" s="1" customFormat="1" ht="11.25" customHeight="1">
      <c r="A232" s="210" t="s">
        <v>57</v>
      </c>
      <c r="B232" s="211"/>
      <c r="C232" s="211"/>
      <c r="D232" s="212"/>
      <c r="E232" s="121"/>
      <c r="F232" s="51">
        <f>F231/F234</f>
        <v>0</v>
      </c>
      <c r="G232" s="153">
        <f t="shared" ref="G232:T232" si="64">G231/G234</f>
        <v>0</v>
      </c>
      <c r="H232" s="153">
        <f t="shared" si="64"/>
        <v>0</v>
      </c>
      <c r="I232" s="153">
        <f t="shared" si="64"/>
        <v>0</v>
      </c>
      <c r="J232" s="153">
        <f t="shared" si="64"/>
        <v>0</v>
      </c>
      <c r="K232" s="153">
        <f t="shared" si="64"/>
        <v>0</v>
      </c>
      <c r="L232" s="153">
        <f t="shared" si="64"/>
        <v>0</v>
      </c>
      <c r="M232" s="153">
        <f t="shared" si="64"/>
        <v>0</v>
      </c>
      <c r="N232" s="153">
        <f t="shared" si="64"/>
        <v>0</v>
      </c>
      <c r="O232" s="153">
        <f t="shared" si="64"/>
        <v>0</v>
      </c>
      <c r="P232" s="153">
        <f t="shared" si="64"/>
        <v>0</v>
      </c>
      <c r="Q232" s="153">
        <f t="shared" si="64"/>
        <v>0</v>
      </c>
      <c r="R232" s="153">
        <f t="shared" si="64"/>
        <v>0</v>
      </c>
      <c r="S232" s="153">
        <f t="shared" si="64"/>
        <v>0</v>
      </c>
      <c r="T232" s="153">
        <f t="shared" si="64"/>
        <v>0</v>
      </c>
      <c r="U232" s="76"/>
      <c r="V232" s="74"/>
      <c r="W232" s="74"/>
      <c r="X232" s="74"/>
    </row>
    <row r="233" spans="1:24" s="1" customFormat="1" ht="11.25" customHeight="1">
      <c r="A233" s="156" t="s">
        <v>56</v>
      </c>
      <c r="B233" s="157"/>
      <c r="C233" s="157"/>
      <c r="D233" s="61">
        <f>D226+D216</f>
        <v>1135.1100000000001</v>
      </c>
      <c r="E233" s="177">
        <f>E226+E216</f>
        <v>167</v>
      </c>
      <c r="F233" s="150">
        <f t="shared" ref="F233:T233" si="65">SUM(F216,F226,F231)</f>
        <v>67.029000000000011</v>
      </c>
      <c r="G233" s="149">
        <f t="shared" si="65"/>
        <v>50.197999999999993</v>
      </c>
      <c r="H233" s="149">
        <f t="shared" si="65"/>
        <v>172.577</v>
      </c>
      <c r="I233" s="149">
        <f t="shared" si="65"/>
        <v>1410.9490000000001</v>
      </c>
      <c r="J233" s="150">
        <f t="shared" si="65"/>
        <v>0.83700000000000008</v>
      </c>
      <c r="K233" s="150">
        <f t="shared" si="65"/>
        <v>0.59499999999999997</v>
      </c>
      <c r="L233" s="149">
        <f t="shared" si="65"/>
        <v>34.365000000000002</v>
      </c>
      <c r="M233" s="150">
        <f t="shared" si="65"/>
        <v>80.868000000000009</v>
      </c>
      <c r="N233" s="150">
        <f t="shared" si="65"/>
        <v>8.1369999999999987</v>
      </c>
      <c r="O233" s="149">
        <f t="shared" si="65"/>
        <v>479.524</v>
      </c>
      <c r="P233" s="149">
        <f t="shared" si="65"/>
        <v>1134.4260000000002</v>
      </c>
      <c r="Q233" s="150">
        <f t="shared" si="65"/>
        <v>4.7598799999999999</v>
      </c>
      <c r="R233" s="151">
        <f t="shared" si="65"/>
        <v>3.9620000000000002E-2</v>
      </c>
      <c r="S233" s="150">
        <f t="shared" si="65"/>
        <v>335.17</v>
      </c>
      <c r="T233" s="150">
        <f t="shared" si="65"/>
        <v>16.439999999999998</v>
      </c>
      <c r="U233" s="31"/>
      <c r="V233" s="74"/>
      <c r="W233" s="74"/>
      <c r="X233" s="74"/>
    </row>
    <row r="234" spans="1:24" s="1" customFormat="1" ht="11.25" customHeight="1">
      <c r="A234" s="207" t="s">
        <v>58</v>
      </c>
      <c r="B234" s="208"/>
      <c r="C234" s="208"/>
      <c r="D234" s="209"/>
      <c r="E234" s="127"/>
      <c r="F234" s="163">
        <v>90</v>
      </c>
      <c r="G234" s="161">
        <v>92</v>
      </c>
      <c r="H234" s="161">
        <v>383</v>
      </c>
      <c r="I234" s="161">
        <v>2720</v>
      </c>
      <c r="J234" s="163">
        <v>1.4</v>
      </c>
      <c r="K234" s="163">
        <v>1.6</v>
      </c>
      <c r="L234" s="162">
        <v>70</v>
      </c>
      <c r="M234" s="163">
        <v>0.9</v>
      </c>
      <c r="N234" s="162">
        <v>12</v>
      </c>
      <c r="O234" s="162">
        <v>1200</v>
      </c>
      <c r="P234" s="162">
        <v>1200</v>
      </c>
      <c r="Q234" s="162">
        <v>14</v>
      </c>
      <c r="R234" s="161">
        <v>0.1</v>
      </c>
      <c r="S234" s="162">
        <v>300</v>
      </c>
      <c r="T234" s="163">
        <v>18</v>
      </c>
      <c r="U234" s="77"/>
      <c r="V234" s="78"/>
      <c r="W234" s="78"/>
      <c r="X234" s="78"/>
    </row>
    <row r="235" spans="1:24" s="1" customFormat="1" ht="11.25" customHeight="1">
      <c r="A235" s="210" t="s">
        <v>57</v>
      </c>
      <c r="B235" s="211"/>
      <c r="C235" s="211"/>
      <c r="D235" s="212"/>
      <c r="E235" s="121"/>
      <c r="F235" s="51">
        <f t="shared" ref="F235:T235" si="66">F233/F234</f>
        <v>0.7447666666666668</v>
      </c>
      <c r="G235" s="153">
        <f t="shared" si="66"/>
        <v>0.54563043478260864</v>
      </c>
      <c r="H235" s="153">
        <f t="shared" si="66"/>
        <v>0.45059268929503915</v>
      </c>
      <c r="I235" s="153">
        <f t="shared" si="66"/>
        <v>0.51873124999999998</v>
      </c>
      <c r="J235" s="153">
        <f t="shared" si="66"/>
        <v>0.59785714285714298</v>
      </c>
      <c r="K235" s="153">
        <f t="shared" si="66"/>
        <v>0.37187499999999996</v>
      </c>
      <c r="L235" s="153">
        <f t="shared" si="66"/>
        <v>0.49092857142857144</v>
      </c>
      <c r="M235" s="33">
        <f t="shared" si="66"/>
        <v>89.853333333333339</v>
      </c>
      <c r="N235" s="153">
        <f t="shared" si="66"/>
        <v>0.67808333333333326</v>
      </c>
      <c r="O235" s="153">
        <f t="shared" si="66"/>
        <v>0.39960333333333331</v>
      </c>
      <c r="P235" s="153">
        <f t="shared" si="66"/>
        <v>0.94535500000000017</v>
      </c>
      <c r="Q235" s="153">
        <f t="shared" si="66"/>
        <v>0.33999142857142856</v>
      </c>
      <c r="R235" s="33">
        <f t="shared" si="66"/>
        <v>0.3962</v>
      </c>
      <c r="S235" s="153">
        <f t="shared" si="66"/>
        <v>1.1172333333333333</v>
      </c>
      <c r="T235" s="33">
        <f t="shared" si="66"/>
        <v>0.91333333333333322</v>
      </c>
      <c r="U235" s="34"/>
      <c r="V235" s="35"/>
      <c r="W235" s="35"/>
      <c r="X235" s="35"/>
    </row>
    <row r="236" spans="1:24" s="1" customFormat="1" ht="11.25" customHeight="1">
      <c r="A236" s="235" t="s">
        <v>40</v>
      </c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  <c r="R236" s="235"/>
      <c r="S236" s="235"/>
      <c r="T236" s="235"/>
      <c r="U236" s="11"/>
      <c r="V236" s="23"/>
      <c r="W236" s="23"/>
      <c r="X236" s="23"/>
    </row>
    <row r="237" spans="1:24" s="1" customFormat="1" ht="11.25" customHeight="1">
      <c r="A237" s="43" t="s">
        <v>51</v>
      </c>
      <c r="B237" s="41"/>
      <c r="C237" s="41"/>
      <c r="D237" s="2"/>
      <c r="E237" s="2"/>
      <c r="F237" s="140"/>
      <c r="G237" s="238" t="s">
        <v>33</v>
      </c>
      <c r="H237" s="238"/>
      <c r="I237" s="238"/>
      <c r="J237" s="144"/>
      <c r="K237" s="144"/>
      <c r="L237" s="219" t="s">
        <v>1</v>
      </c>
      <c r="M237" s="219"/>
      <c r="N237" s="248"/>
      <c r="O237" s="248"/>
      <c r="P237" s="248"/>
      <c r="Q237" s="248"/>
      <c r="R237" s="144"/>
      <c r="S237" s="144"/>
      <c r="T237" s="144"/>
      <c r="U237" s="12"/>
      <c r="V237" s="18"/>
      <c r="W237" s="18"/>
      <c r="X237" s="18"/>
    </row>
    <row r="238" spans="1:24" s="1" customFormat="1" ht="11.25" customHeight="1">
      <c r="A238" s="41"/>
      <c r="B238" s="41"/>
      <c r="C238" s="41"/>
      <c r="D238" s="232" t="s">
        <v>2</v>
      </c>
      <c r="E238" s="232"/>
      <c r="F238" s="232"/>
      <c r="G238" s="5">
        <v>2</v>
      </c>
      <c r="H238" s="144"/>
      <c r="I238" s="2"/>
      <c r="J238" s="2"/>
      <c r="K238" s="2"/>
      <c r="L238" s="232" t="s">
        <v>3</v>
      </c>
      <c r="M238" s="232"/>
      <c r="N238" s="238" t="str">
        <f>N207</f>
        <v>7-11 лет;12 и старше</v>
      </c>
      <c r="O238" s="238"/>
      <c r="P238" s="238"/>
      <c r="Q238" s="238"/>
      <c r="R238" s="238"/>
      <c r="S238" s="238"/>
      <c r="T238" s="238"/>
      <c r="U238" s="13"/>
      <c r="V238" s="19"/>
      <c r="W238" s="19"/>
      <c r="X238" s="19"/>
    </row>
    <row r="239" spans="1:24" s="1" customFormat="1" ht="21.75" customHeight="1">
      <c r="A239" s="246" t="s">
        <v>4</v>
      </c>
      <c r="B239" s="239" t="s">
        <v>5</v>
      </c>
      <c r="C239" s="240"/>
      <c r="D239" s="246" t="s">
        <v>6</v>
      </c>
      <c r="E239" s="124"/>
      <c r="F239" s="228" t="s">
        <v>7</v>
      </c>
      <c r="G239" s="229"/>
      <c r="H239" s="230"/>
      <c r="I239" s="246" t="s">
        <v>8</v>
      </c>
      <c r="J239" s="228" t="s">
        <v>9</v>
      </c>
      <c r="K239" s="229"/>
      <c r="L239" s="229"/>
      <c r="M239" s="229"/>
      <c r="N239" s="230"/>
      <c r="O239" s="228" t="s">
        <v>10</v>
      </c>
      <c r="P239" s="229"/>
      <c r="Q239" s="229"/>
      <c r="R239" s="229"/>
      <c r="S239" s="229"/>
      <c r="T239" s="230"/>
      <c r="U239" s="7"/>
      <c r="V239" s="20"/>
      <c r="W239" s="20"/>
      <c r="X239" s="20"/>
    </row>
    <row r="240" spans="1:24" s="1" customFormat="1" ht="21" customHeight="1">
      <c r="A240" s="247"/>
      <c r="B240" s="241"/>
      <c r="C240" s="242"/>
      <c r="D240" s="247"/>
      <c r="E240" s="123"/>
      <c r="F240" s="57" t="s">
        <v>11</v>
      </c>
      <c r="G240" s="129" t="s">
        <v>12</v>
      </c>
      <c r="H240" s="129" t="s">
        <v>13</v>
      </c>
      <c r="I240" s="247"/>
      <c r="J240" s="129" t="s">
        <v>14</v>
      </c>
      <c r="K240" s="129" t="s">
        <v>52</v>
      </c>
      <c r="L240" s="129" t="s">
        <v>15</v>
      </c>
      <c r="M240" s="129" t="s">
        <v>16</v>
      </c>
      <c r="N240" s="129" t="s">
        <v>17</v>
      </c>
      <c r="O240" s="129" t="s">
        <v>18</v>
      </c>
      <c r="P240" s="129" t="s">
        <v>19</v>
      </c>
      <c r="Q240" s="129" t="s">
        <v>53</v>
      </c>
      <c r="R240" s="129" t="s">
        <v>54</v>
      </c>
      <c r="S240" s="129" t="s">
        <v>20</v>
      </c>
      <c r="T240" s="129" t="s">
        <v>21</v>
      </c>
      <c r="U240" s="7"/>
      <c r="V240" s="20"/>
      <c r="W240" s="20"/>
      <c r="X240" s="20"/>
    </row>
    <row r="241" spans="1:24" s="1" customFormat="1" ht="11.25" customHeight="1">
      <c r="A241" s="172">
        <v>1</v>
      </c>
      <c r="B241" s="226">
        <v>2</v>
      </c>
      <c r="C241" s="227"/>
      <c r="D241" s="28">
        <v>3</v>
      </c>
      <c r="E241" s="28"/>
      <c r="F241" s="58">
        <v>4</v>
      </c>
      <c r="G241" s="28">
        <v>5</v>
      </c>
      <c r="H241" s="28">
        <v>6</v>
      </c>
      <c r="I241" s="28">
        <v>7</v>
      </c>
      <c r="J241" s="28">
        <v>8</v>
      </c>
      <c r="K241" s="28">
        <v>9</v>
      </c>
      <c r="L241" s="28">
        <v>10</v>
      </c>
      <c r="M241" s="28">
        <v>11</v>
      </c>
      <c r="N241" s="28">
        <v>12</v>
      </c>
      <c r="O241" s="28">
        <v>13</v>
      </c>
      <c r="P241" s="28">
        <v>14</v>
      </c>
      <c r="Q241" s="28">
        <v>15</v>
      </c>
      <c r="R241" s="28">
        <v>16</v>
      </c>
      <c r="S241" s="28">
        <v>17</v>
      </c>
      <c r="T241" s="28">
        <v>18</v>
      </c>
      <c r="U241" s="8"/>
      <c r="V241" s="21"/>
      <c r="W241" s="21"/>
      <c r="X241" s="21"/>
    </row>
    <row r="242" spans="1:24" s="1" customFormat="1" ht="11.25" customHeight="1">
      <c r="A242" s="215" t="s">
        <v>111</v>
      </c>
      <c r="B242" s="216"/>
      <c r="C242" s="216"/>
      <c r="D242" s="216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7"/>
      <c r="U242" s="9"/>
      <c r="V242" s="22"/>
      <c r="W242" s="22"/>
      <c r="X242" s="22"/>
    </row>
    <row r="243" spans="1:24" s="144" customFormat="1" ht="20.25" customHeight="1">
      <c r="A243" s="159">
        <v>71</v>
      </c>
      <c r="B243" s="201" t="s">
        <v>98</v>
      </c>
      <c r="C243" s="202"/>
      <c r="D243" s="168">
        <v>60</v>
      </c>
      <c r="E243" s="168">
        <v>15</v>
      </c>
      <c r="F243" s="176">
        <f>0.5*D243/60</f>
        <v>0.5</v>
      </c>
      <c r="G243" s="176">
        <f>0.03*D243/30</f>
        <v>5.9999999999999991E-2</v>
      </c>
      <c r="H243" s="176">
        <f>1.7*D243/60</f>
        <v>1.7</v>
      </c>
      <c r="I243" s="176">
        <f>F243*4+G243*9+H243*4</f>
        <v>9.34</v>
      </c>
      <c r="J243" s="169">
        <v>8.9999999999999993E-3</v>
      </c>
      <c r="K243" s="176">
        <v>0.01</v>
      </c>
      <c r="L243" s="170">
        <v>3</v>
      </c>
      <c r="M243" s="169">
        <v>3.0000000000000001E-3</v>
      </c>
      <c r="N243" s="168">
        <v>0.03</v>
      </c>
      <c r="O243" s="176">
        <v>6.9</v>
      </c>
      <c r="P243" s="176">
        <v>12.6</v>
      </c>
      <c r="Q243" s="169">
        <v>6.4000000000000001E-2</v>
      </c>
      <c r="R243" s="169">
        <v>1E-3</v>
      </c>
      <c r="S243" s="176">
        <v>4.2</v>
      </c>
      <c r="T243" s="176">
        <v>0.18</v>
      </c>
      <c r="U243" s="147"/>
      <c r="V243" s="148"/>
      <c r="W243" s="148"/>
      <c r="X243" s="148"/>
    </row>
    <row r="244" spans="1:24" s="144" customFormat="1">
      <c r="A244" s="90" t="s">
        <v>60</v>
      </c>
      <c r="B244" s="213" t="s">
        <v>88</v>
      </c>
      <c r="C244" s="214"/>
      <c r="D244" s="90">
        <v>20</v>
      </c>
      <c r="E244" s="91">
        <v>8.27</v>
      </c>
      <c r="F244" s="91">
        <v>0.65</v>
      </c>
      <c r="G244" s="92">
        <v>3.8</v>
      </c>
      <c r="H244" s="93">
        <v>17.600000000000001</v>
      </c>
      <c r="I244" s="91">
        <v>38</v>
      </c>
      <c r="J244" s="91">
        <v>2.5999999999999999E-2</v>
      </c>
      <c r="K244" s="91">
        <v>0.03</v>
      </c>
      <c r="L244" s="91">
        <v>0.13</v>
      </c>
      <c r="M244" s="91">
        <v>11.96</v>
      </c>
      <c r="N244" s="92">
        <v>0.39</v>
      </c>
      <c r="O244" s="91">
        <v>24.18</v>
      </c>
      <c r="P244" s="91">
        <v>49.4</v>
      </c>
      <c r="Q244" s="94">
        <v>0.2</v>
      </c>
      <c r="R244" s="91">
        <v>2E-3</v>
      </c>
      <c r="S244" s="91">
        <v>18.72</v>
      </c>
      <c r="T244" s="91">
        <v>0.182</v>
      </c>
      <c r="U244"/>
      <c r="V244"/>
      <c r="W244"/>
      <c r="X244"/>
    </row>
    <row r="245" spans="1:24" s="144" customFormat="1" ht="12" customHeight="1">
      <c r="A245" s="172">
        <v>291</v>
      </c>
      <c r="B245" s="201" t="s">
        <v>47</v>
      </c>
      <c r="C245" s="202"/>
      <c r="D245" s="162">
        <v>210</v>
      </c>
      <c r="E245" s="163">
        <v>43.4</v>
      </c>
      <c r="F245" s="163">
        <v>19.559999999999999</v>
      </c>
      <c r="G245" s="163">
        <v>22.86</v>
      </c>
      <c r="H245" s="163">
        <v>41.32</v>
      </c>
      <c r="I245" s="163">
        <v>449.37</v>
      </c>
      <c r="J245" s="163">
        <v>0.71</v>
      </c>
      <c r="K245" s="163">
        <v>0.69</v>
      </c>
      <c r="L245" s="163">
        <v>3.7589999999999999</v>
      </c>
      <c r="M245" s="163">
        <v>0.4</v>
      </c>
      <c r="N245" s="160">
        <v>0</v>
      </c>
      <c r="O245" s="163">
        <v>38.75</v>
      </c>
      <c r="P245" s="163">
        <v>263.94</v>
      </c>
      <c r="Q245" s="162">
        <v>0</v>
      </c>
      <c r="R245" s="162">
        <v>0</v>
      </c>
      <c r="S245" s="163">
        <v>56.34</v>
      </c>
      <c r="T245" s="163">
        <v>2.42</v>
      </c>
      <c r="U245" s="165"/>
      <c r="V245" s="166"/>
      <c r="W245" s="166"/>
      <c r="X245" s="166"/>
    </row>
    <row r="246" spans="1:24" s="144" customFormat="1" ht="12.75" customHeight="1">
      <c r="A246" s="172">
        <v>377</v>
      </c>
      <c r="B246" s="203" t="s">
        <v>43</v>
      </c>
      <c r="C246" s="203"/>
      <c r="D246" s="162">
        <v>200</v>
      </c>
      <c r="E246" s="163">
        <v>3.81</v>
      </c>
      <c r="F246" s="163">
        <v>0.26</v>
      </c>
      <c r="G246" s="163">
        <v>0.06</v>
      </c>
      <c r="H246" s="163">
        <v>15.22</v>
      </c>
      <c r="I246" s="163">
        <f>F246*4+G246*9+H246*4</f>
        <v>62.46</v>
      </c>
      <c r="J246" s="163"/>
      <c r="K246" s="163">
        <v>0.01</v>
      </c>
      <c r="L246" s="163">
        <v>2.9</v>
      </c>
      <c r="M246" s="160">
        <v>0</v>
      </c>
      <c r="N246" s="163">
        <v>0.06</v>
      </c>
      <c r="O246" s="163">
        <v>8.0500000000000007</v>
      </c>
      <c r="P246" s="163">
        <v>9.7799999999999994</v>
      </c>
      <c r="Q246" s="163">
        <v>1.7000000000000001E-2</v>
      </c>
      <c r="R246" s="164">
        <v>0</v>
      </c>
      <c r="S246" s="163">
        <v>5.24</v>
      </c>
      <c r="T246" s="163">
        <v>0.87</v>
      </c>
      <c r="U246" s="165"/>
      <c r="V246" s="221"/>
      <c r="W246" s="221"/>
      <c r="X246" s="221"/>
    </row>
    <row r="247" spans="1:24" s="144" customFormat="1" ht="12.75" customHeight="1">
      <c r="A247" s="167" t="s">
        <v>60</v>
      </c>
      <c r="B247" s="201" t="s">
        <v>49</v>
      </c>
      <c r="C247" s="202"/>
      <c r="D247" s="162">
        <v>30</v>
      </c>
      <c r="E247" s="163">
        <v>2.52</v>
      </c>
      <c r="F247" s="163">
        <f>1.52*D247/30</f>
        <v>1.52</v>
      </c>
      <c r="G247" s="164">
        <f>0.16*D247/30</f>
        <v>0.16</v>
      </c>
      <c r="H247" s="164">
        <f>9.84*D247/30</f>
        <v>9.84</v>
      </c>
      <c r="I247" s="164">
        <f>F247*4+G247*9+H247*4</f>
        <v>46.879999999999995</v>
      </c>
      <c r="J247" s="164">
        <f>0.02*D247/30</f>
        <v>0.02</v>
      </c>
      <c r="K247" s="164">
        <f>0.01*D247/30</f>
        <v>0.01</v>
      </c>
      <c r="L247" s="164">
        <f>0.44*D247/30</f>
        <v>0.44</v>
      </c>
      <c r="M247" s="164">
        <v>0</v>
      </c>
      <c r="N247" s="164">
        <f>0.7*D247/30</f>
        <v>0.7</v>
      </c>
      <c r="O247" s="164">
        <f>4*D247/30</f>
        <v>4</v>
      </c>
      <c r="P247" s="164">
        <f>13*D247/30</f>
        <v>13</v>
      </c>
      <c r="Q247" s="164">
        <f>0.008*D247/30</f>
        <v>8.0000000000000002E-3</v>
      </c>
      <c r="R247" s="164">
        <f>0.001*D247/30</f>
        <v>1E-3</v>
      </c>
      <c r="S247" s="164">
        <v>0</v>
      </c>
      <c r="T247" s="164">
        <f>0.22*D247/30</f>
        <v>0.22</v>
      </c>
      <c r="U247" s="165"/>
      <c r="V247" s="221"/>
      <c r="W247" s="221"/>
      <c r="X247" s="221"/>
    </row>
    <row r="248" spans="1:24" s="73" customFormat="1" ht="11.25" customHeight="1">
      <c r="A248" s="46" t="s">
        <v>23</v>
      </c>
      <c r="B248" s="47"/>
      <c r="C248" s="47"/>
      <c r="D248" s="158">
        <f t="shared" ref="D248:I248" si="67">SUM(D243:D247)</f>
        <v>520</v>
      </c>
      <c r="E248" s="175">
        <f t="shared" si="67"/>
        <v>73</v>
      </c>
      <c r="F248" s="150">
        <f t="shared" si="67"/>
        <v>22.49</v>
      </c>
      <c r="G248" s="150">
        <f t="shared" si="67"/>
        <v>26.939999999999998</v>
      </c>
      <c r="H248" s="150">
        <f t="shared" si="67"/>
        <v>85.68</v>
      </c>
      <c r="I248" s="150">
        <f t="shared" si="67"/>
        <v>606.05000000000007</v>
      </c>
      <c r="J248" s="150">
        <f t="shared" ref="J248:T248" si="68">SUM(J243:J247)</f>
        <v>0.76500000000000001</v>
      </c>
      <c r="K248" s="150">
        <f t="shared" si="68"/>
        <v>0.75</v>
      </c>
      <c r="L248" s="150">
        <f t="shared" si="68"/>
        <v>10.228999999999999</v>
      </c>
      <c r="M248" s="150">
        <f t="shared" si="68"/>
        <v>12.363000000000001</v>
      </c>
      <c r="N248" s="150">
        <f t="shared" si="68"/>
        <v>1.18</v>
      </c>
      <c r="O248" s="149">
        <f t="shared" si="68"/>
        <v>81.88</v>
      </c>
      <c r="P248" s="150">
        <f t="shared" si="68"/>
        <v>348.71999999999997</v>
      </c>
      <c r="Q248" s="150">
        <f t="shared" si="68"/>
        <v>0.28900000000000003</v>
      </c>
      <c r="R248" s="150">
        <f t="shared" si="68"/>
        <v>4.0000000000000001E-3</v>
      </c>
      <c r="S248" s="150">
        <f t="shared" si="68"/>
        <v>84.5</v>
      </c>
      <c r="T248" s="150">
        <f t="shared" si="68"/>
        <v>3.8720000000000003</v>
      </c>
      <c r="U248" s="29"/>
      <c r="V248" s="74"/>
      <c r="W248" s="74"/>
      <c r="X248" s="74"/>
    </row>
    <row r="249" spans="1:24" s="73" customFormat="1" ht="11.25" customHeight="1">
      <c r="A249" s="210" t="s">
        <v>57</v>
      </c>
      <c r="B249" s="211"/>
      <c r="C249" s="211"/>
      <c r="D249" s="212"/>
      <c r="E249" s="173"/>
      <c r="F249" s="171">
        <f t="shared" ref="F249:T249" si="69">F248/F266</f>
        <v>0.24988888888888888</v>
      </c>
      <c r="G249" s="153">
        <f t="shared" si="69"/>
        <v>0.29282608695652174</v>
      </c>
      <c r="H249" s="153">
        <f t="shared" si="69"/>
        <v>0.22370757180156658</v>
      </c>
      <c r="I249" s="153">
        <f t="shared" si="69"/>
        <v>0.22281250000000002</v>
      </c>
      <c r="J249" s="153">
        <f t="shared" si="69"/>
        <v>0.54642857142857149</v>
      </c>
      <c r="K249" s="153">
        <f t="shared" si="69"/>
        <v>0.46875</v>
      </c>
      <c r="L249" s="153">
        <f t="shared" si="69"/>
        <v>0.14612857142857141</v>
      </c>
      <c r="M249" s="153">
        <f t="shared" si="69"/>
        <v>13.736666666666668</v>
      </c>
      <c r="N249" s="153">
        <f t="shared" si="69"/>
        <v>9.8333333333333328E-2</v>
      </c>
      <c r="O249" s="153">
        <f t="shared" si="69"/>
        <v>6.8233333333333326E-2</v>
      </c>
      <c r="P249" s="153">
        <f t="shared" si="69"/>
        <v>0.29059999999999997</v>
      </c>
      <c r="Q249" s="153">
        <f t="shared" si="69"/>
        <v>2.0642857142857147E-2</v>
      </c>
      <c r="R249" s="153">
        <f t="shared" si="69"/>
        <v>0.04</v>
      </c>
      <c r="S249" s="153">
        <f t="shared" si="69"/>
        <v>0.28166666666666668</v>
      </c>
      <c r="T249" s="153">
        <f t="shared" si="69"/>
        <v>0.21511111111111114</v>
      </c>
      <c r="U249" s="76"/>
      <c r="V249" s="74"/>
      <c r="W249" s="74"/>
      <c r="X249" s="74"/>
    </row>
    <row r="250" spans="1:24" s="73" customFormat="1" ht="11.25" customHeight="1">
      <c r="A250" s="251" t="s">
        <v>26</v>
      </c>
      <c r="B250" s="252"/>
      <c r="C250" s="252"/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2"/>
      <c r="P250" s="252"/>
      <c r="Q250" s="252"/>
      <c r="R250" s="252"/>
      <c r="S250" s="252"/>
      <c r="T250" s="253"/>
      <c r="U250" s="14"/>
      <c r="V250" s="24"/>
      <c r="W250" s="24"/>
      <c r="X250" s="24"/>
    </row>
    <row r="251" spans="1:24" s="144" customFormat="1" ht="13.5" customHeight="1">
      <c r="A251" s="172">
        <v>49</v>
      </c>
      <c r="B251" s="201" t="s">
        <v>93</v>
      </c>
      <c r="C251" s="202"/>
      <c r="D251" s="160">
        <v>60</v>
      </c>
      <c r="E251" s="163">
        <v>9</v>
      </c>
      <c r="F251" s="163">
        <v>1.56</v>
      </c>
      <c r="G251" s="163">
        <v>12.03</v>
      </c>
      <c r="H251" s="163">
        <v>8.7799999999999994</v>
      </c>
      <c r="I251" s="163">
        <v>149.69999999999999</v>
      </c>
      <c r="J251" s="164">
        <v>0.05</v>
      </c>
      <c r="K251" s="164">
        <v>0.05</v>
      </c>
      <c r="L251" s="163">
        <v>20.66</v>
      </c>
      <c r="M251" s="163">
        <v>2E-3</v>
      </c>
      <c r="N251" s="160">
        <v>2.5</v>
      </c>
      <c r="O251" s="161">
        <v>32.83</v>
      </c>
      <c r="P251" s="161">
        <v>33.85</v>
      </c>
      <c r="Q251" s="163">
        <v>0.5</v>
      </c>
      <c r="R251" s="164">
        <v>2E-3</v>
      </c>
      <c r="S251" s="163">
        <v>16.63</v>
      </c>
      <c r="T251" s="163">
        <v>0.56000000000000005</v>
      </c>
      <c r="U251" s="165"/>
      <c r="V251" s="166"/>
      <c r="W251" s="166"/>
      <c r="X251" s="166"/>
    </row>
    <row r="252" spans="1:24" s="107" customFormat="1" ht="22.5" customHeight="1">
      <c r="A252" s="167">
        <v>108</v>
      </c>
      <c r="B252" s="201" t="s">
        <v>85</v>
      </c>
      <c r="C252" s="202"/>
      <c r="D252" s="160">
        <v>250</v>
      </c>
      <c r="E252" s="163">
        <v>12.04</v>
      </c>
      <c r="F252" s="163">
        <v>3.15</v>
      </c>
      <c r="G252" s="164">
        <v>3.55</v>
      </c>
      <c r="H252" s="164">
        <v>20.837499999999999</v>
      </c>
      <c r="I252" s="163">
        <v>127.89999999999999</v>
      </c>
      <c r="J252" s="164">
        <v>8.7499999999999994E-2</v>
      </c>
      <c r="K252" s="164">
        <v>7.4999999999999997E-2</v>
      </c>
      <c r="L252" s="164">
        <v>11.3125</v>
      </c>
      <c r="M252" s="164">
        <v>0.59</v>
      </c>
      <c r="N252" s="164">
        <v>0.875</v>
      </c>
      <c r="O252" s="164">
        <v>25.737500000000001</v>
      </c>
      <c r="P252" s="164">
        <v>60.237499999999997</v>
      </c>
      <c r="Q252" s="164">
        <v>0.25</v>
      </c>
      <c r="R252" s="164">
        <v>1.25E-3</v>
      </c>
      <c r="S252" s="164">
        <v>18.2</v>
      </c>
      <c r="T252" s="164">
        <v>0.92500000000000004</v>
      </c>
      <c r="U252" s="112"/>
      <c r="V252" s="113"/>
      <c r="W252" s="113"/>
      <c r="X252" s="113"/>
    </row>
    <row r="253" spans="1:24" s="180" customFormat="1" ht="12.75" customHeight="1">
      <c r="A253" s="172">
        <v>259</v>
      </c>
      <c r="B253" s="201" t="s">
        <v>48</v>
      </c>
      <c r="C253" s="202"/>
      <c r="D253" s="162">
        <v>220</v>
      </c>
      <c r="E253" s="163">
        <v>52.43</v>
      </c>
      <c r="F253" s="163">
        <v>15.69</v>
      </c>
      <c r="G253" s="163">
        <v>16.510000000000002</v>
      </c>
      <c r="H253" s="163">
        <v>28.061</v>
      </c>
      <c r="I253" s="163">
        <v>323.63</v>
      </c>
      <c r="J253" s="163">
        <v>0.42</v>
      </c>
      <c r="K253" s="163">
        <v>0.22</v>
      </c>
      <c r="L253" s="163">
        <v>34.43</v>
      </c>
      <c r="M253" s="164">
        <v>6.4000000000000001E-2</v>
      </c>
      <c r="N253" s="160">
        <v>0.38</v>
      </c>
      <c r="O253" s="163">
        <v>46.42</v>
      </c>
      <c r="P253" s="161">
        <v>239.99</v>
      </c>
      <c r="Q253" s="161">
        <v>3.85</v>
      </c>
      <c r="R253" s="164">
        <v>2E-3</v>
      </c>
      <c r="S253" s="163">
        <v>61.45</v>
      </c>
      <c r="T253" s="163">
        <v>3.65</v>
      </c>
      <c r="U253" s="178"/>
      <c r="V253" s="179"/>
      <c r="W253" s="179"/>
      <c r="X253" s="179"/>
    </row>
    <row r="254" spans="1:24" s="180" customFormat="1" ht="12" customHeight="1">
      <c r="A254" s="167">
        <v>349</v>
      </c>
      <c r="B254" s="201" t="s">
        <v>78</v>
      </c>
      <c r="C254" s="202"/>
      <c r="D254" s="162">
        <v>200</v>
      </c>
      <c r="E254" s="163">
        <v>5.61</v>
      </c>
      <c r="F254" s="163">
        <v>0.22</v>
      </c>
      <c r="G254" s="160">
        <v>0</v>
      </c>
      <c r="H254" s="163">
        <v>24.42</v>
      </c>
      <c r="I254" s="163">
        <v>98.56</v>
      </c>
      <c r="J254" s="160">
        <v>0</v>
      </c>
      <c r="K254" s="160">
        <v>0</v>
      </c>
      <c r="L254" s="163">
        <v>26.11</v>
      </c>
      <c r="M254" s="160">
        <v>0</v>
      </c>
      <c r="N254" s="160">
        <v>0</v>
      </c>
      <c r="O254" s="161">
        <v>22.6</v>
      </c>
      <c r="P254" s="161">
        <v>7.7</v>
      </c>
      <c r="Q254" s="162">
        <v>0</v>
      </c>
      <c r="R254" s="162">
        <v>0</v>
      </c>
      <c r="S254" s="161">
        <v>3</v>
      </c>
      <c r="T254" s="163">
        <v>0.66</v>
      </c>
      <c r="U254" s="178"/>
      <c r="V254" s="179"/>
      <c r="W254" s="179"/>
      <c r="X254" s="179"/>
    </row>
    <row r="255" spans="1:24" s="180" customFormat="1" ht="11.25" customHeight="1">
      <c r="A255" s="52" t="s">
        <v>60</v>
      </c>
      <c r="B255" s="201" t="s">
        <v>44</v>
      </c>
      <c r="C255" s="202"/>
      <c r="D255" s="162">
        <v>40</v>
      </c>
      <c r="E255" s="163">
        <v>2.08</v>
      </c>
      <c r="F255" s="163">
        <f>2.64*D255/40</f>
        <v>2.64</v>
      </c>
      <c r="G255" s="163">
        <f>0.48*D255/40</f>
        <v>0.48</v>
      </c>
      <c r="H255" s="163">
        <f>13.68*D255/40</f>
        <v>13.680000000000001</v>
      </c>
      <c r="I255" s="161">
        <f>F255*4+G255*9+H255*4</f>
        <v>69.600000000000009</v>
      </c>
      <c r="J255" s="160">
        <f>0.08*D255/40</f>
        <v>0.08</v>
      </c>
      <c r="K255" s="163">
        <f>0.04*D255/40</f>
        <v>0.04</v>
      </c>
      <c r="L255" s="162">
        <v>0</v>
      </c>
      <c r="M255" s="162">
        <v>0</v>
      </c>
      <c r="N255" s="163">
        <f>2.4*D255/40</f>
        <v>2.4</v>
      </c>
      <c r="O255" s="163">
        <f>14*D255/40</f>
        <v>14</v>
      </c>
      <c r="P255" s="163">
        <f>63.2*D255/40</f>
        <v>63.2</v>
      </c>
      <c r="Q255" s="163">
        <f>1.2*D255/40</f>
        <v>1.2</v>
      </c>
      <c r="R255" s="164">
        <f>0.001*D255/40</f>
        <v>1E-3</v>
      </c>
      <c r="S255" s="163">
        <f>9.4*D255/40</f>
        <v>9.4</v>
      </c>
      <c r="T255" s="160">
        <f>0.78*D255/40</f>
        <v>0.78</v>
      </c>
      <c r="U255" s="188"/>
      <c r="V255" s="189"/>
      <c r="W255" s="189"/>
      <c r="X255" s="189"/>
    </row>
    <row r="256" spans="1:24" s="73" customFormat="1" ht="11.25" customHeight="1">
      <c r="A256" s="167" t="s">
        <v>60</v>
      </c>
      <c r="B256" s="201" t="s">
        <v>49</v>
      </c>
      <c r="C256" s="202"/>
      <c r="D256" s="162">
        <v>30</v>
      </c>
      <c r="E256" s="163">
        <v>2.52</v>
      </c>
      <c r="F256" s="163">
        <f>1.52*D256/30</f>
        <v>1.52</v>
      </c>
      <c r="G256" s="164">
        <f>0.16*D256/30</f>
        <v>0.16</v>
      </c>
      <c r="H256" s="164">
        <f>9.84*D256/30</f>
        <v>9.84</v>
      </c>
      <c r="I256" s="164">
        <f>F256*4+G256*9+H256*4</f>
        <v>46.879999999999995</v>
      </c>
      <c r="J256" s="164">
        <f>0.02*D256/30</f>
        <v>0.02</v>
      </c>
      <c r="K256" s="164">
        <f>0.01*D256/30</f>
        <v>0.01</v>
      </c>
      <c r="L256" s="164">
        <f>0.44*D256/30</f>
        <v>0.44</v>
      </c>
      <c r="M256" s="164">
        <v>0</v>
      </c>
      <c r="N256" s="164">
        <f>0.7*D256/30</f>
        <v>0.7</v>
      </c>
      <c r="O256" s="164">
        <f>4*D256/30</f>
        <v>4</v>
      </c>
      <c r="P256" s="164">
        <f>13*D256/30</f>
        <v>13</v>
      </c>
      <c r="Q256" s="164">
        <f>0.008*D256/30</f>
        <v>8.0000000000000002E-3</v>
      </c>
      <c r="R256" s="164">
        <f>0.001*D256/30</f>
        <v>1E-3</v>
      </c>
      <c r="S256" s="164">
        <v>0</v>
      </c>
      <c r="T256" s="164">
        <f>0.22*D256/30</f>
        <v>0.22</v>
      </c>
      <c r="U256" s="77"/>
      <c r="V256" s="78"/>
      <c r="W256" s="78"/>
      <c r="X256" s="78"/>
    </row>
    <row r="257" spans="1:24" s="114" customFormat="1" ht="11.25" customHeight="1">
      <c r="A257" s="90" t="s">
        <v>60</v>
      </c>
      <c r="B257" s="213" t="s">
        <v>88</v>
      </c>
      <c r="C257" s="214"/>
      <c r="D257" s="90">
        <v>30</v>
      </c>
      <c r="E257" s="91">
        <v>10.32</v>
      </c>
      <c r="F257" s="91">
        <v>0.65</v>
      </c>
      <c r="G257" s="92">
        <v>3.8</v>
      </c>
      <c r="H257" s="93">
        <v>17.600000000000001</v>
      </c>
      <c r="I257" s="91">
        <v>38</v>
      </c>
      <c r="J257" s="91">
        <v>2.5999999999999999E-2</v>
      </c>
      <c r="K257" s="91">
        <v>0.03</v>
      </c>
      <c r="L257" s="91">
        <v>0.13</v>
      </c>
      <c r="M257" s="91">
        <v>11.96</v>
      </c>
      <c r="N257" s="92">
        <v>0.39</v>
      </c>
      <c r="O257" s="91">
        <v>24.18</v>
      </c>
      <c r="P257" s="91">
        <v>49.4</v>
      </c>
      <c r="Q257" s="94">
        <v>0.2</v>
      </c>
      <c r="R257" s="91">
        <v>2E-3</v>
      </c>
      <c r="S257" s="91">
        <v>18.72</v>
      </c>
      <c r="T257" s="91">
        <v>0.182</v>
      </c>
      <c r="U257"/>
      <c r="V257"/>
      <c r="W257"/>
      <c r="X257"/>
    </row>
    <row r="258" spans="1:24" s="73" customFormat="1" ht="11.25" customHeight="1">
      <c r="A258" s="156" t="s">
        <v>27</v>
      </c>
      <c r="B258" s="157"/>
      <c r="C258" s="157"/>
      <c r="D258" s="158">
        <f>SUM(D251:D257)</f>
        <v>830</v>
      </c>
      <c r="E258" s="175">
        <f>SUM(E251:E257)</f>
        <v>94</v>
      </c>
      <c r="F258" s="175">
        <f t="shared" ref="F258:T258" si="70">SUM(F251:F257)</f>
        <v>25.429999999999996</v>
      </c>
      <c r="G258" s="175">
        <f t="shared" si="70"/>
        <v>36.529999999999994</v>
      </c>
      <c r="H258" s="175">
        <f t="shared" si="70"/>
        <v>123.21850000000001</v>
      </c>
      <c r="I258" s="175">
        <f t="shared" si="70"/>
        <v>854.27</v>
      </c>
      <c r="J258" s="175">
        <f t="shared" si="70"/>
        <v>0.6835</v>
      </c>
      <c r="K258" s="175">
        <f t="shared" si="70"/>
        <v>0.42499999999999993</v>
      </c>
      <c r="L258" s="175">
        <f t="shared" si="70"/>
        <v>93.082499999999996</v>
      </c>
      <c r="M258" s="175">
        <f t="shared" si="70"/>
        <v>12.616000000000001</v>
      </c>
      <c r="N258" s="175">
        <f t="shared" si="70"/>
        <v>7.2449999999999992</v>
      </c>
      <c r="O258" s="175">
        <f t="shared" si="70"/>
        <v>169.76750000000001</v>
      </c>
      <c r="P258" s="175">
        <f t="shared" si="70"/>
        <v>467.37749999999994</v>
      </c>
      <c r="Q258" s="175">
        <f t="shared" si="70"/>
        <v>6.008</v>
      </c>
      <c r="R258" s="175">
        <f t="shared" si="70"/>
        <v>9.2500000000000013E-3</v>
      </c>
      <c r="S258" s="175">
        <f t="shared" si="70"/>
        <v>127.4</v>
      </c>
      <c r="T258" s="175">
        <f t="shared" si="70"/>
        <v>6.9770000000000003</v>
      </c>
      <c r="U258" s="29"/>
      <c r="V258" s="74"/>
      <c r="W258" s="74"/>
      <c r="X258" s="74"/>
    </row>
    <row r="259" spans="1:24" s="73" customFormat="1" ht="11.25" customHeight="1">
      <c r="A259" s="210" t="s">
        <v>57</v>
      </c>
      <c r="B259" s="211"/>
      <c r="C259" s="211"/>
      <c r="D259" s="212"/>
      <c r="E259" s="173"/>
      <c r="F259" s="171">
        <f t="shared" ref="F259:T259" si="71">F258/F266</f>
        <v>0.2825555555555555</v>
      </c>
      <c r="G259" s="153">
        <f t="shared" si="71"/>
        <v>0.39706521739130429</v>
      </c>
      <c r="H259" s="153">
        <f t="shared" si="71"/>
        <v>0.32171932114882507</v>
      </c>
      <c r="I259" s="153">
        <f t="shared" si="71"/>
        <v>0.31406985294117645</v>
      </c>
      <c r="J259" s="153">
        <f t="shared" si="71"/>
        <v>0.48821428571428577</v>
      </c>
      <c r="K259" s="153">
        <f t="shared" si="71"/>
        <v>0.26562499999999994</v>
      </c>
      <c r="L259" s="153">
        <f t="shared" si="71"/>
        <v>1.32975</v>
      </c>
      <c r="M259" s="153">
        <f t="shared" si="71"/>
        <v>14.017777777777779</v>
      </c>
      <c r="N259" s="153">
        <f t="shared" si="71"/>
        <v>0.6037499999999999</v>
      </c>
      <c r="O259" s="153">
        <f t="shared" si="71"/>
        <v>0.14147291666666667</v>
      </c>
      <c r="P259" s="153">
        <f t="shared" si="71"/>
        <v>0.38948124999999995</v>
      </c>
      <c r="Q259" s="153">
        <f t="shared" si="71"/>
        <v>0.42914285714285716</v>
      </c>
      <c r="R259" s="153">
        <f t="shared" si="71"/>
        <v>9.2500000000000013E-2</v>
      </c>
      <c r="S259" s="153">
        <f t="shared" si="71"/>
        <v>0.42466666666666669</v>
      </c>
      <c r="T259" s="153">
        <f t="shared" si="71"/>
        <v>0.38761111111111113</v>
      </c>
      <c r="U259" s="76"/>
      <c r="V259" s="74"/>
      <c r="W259" s="74"/>
      <c r="X259" s="74"/>
    </row>
    <row r="260" spans="1:24" s="73" customFormat="1" ht="11.25" customHeight="1">
      <c r="A260" s="215" t="s">
        <v>28</v>
      </c>
      <c r="B260" s="216"/>
      <c r="C260" s="216"/>
      <c r="D260" s="216"/>
      <c r="E260" s="216"/>
      <c r="F260" s="216"/>
      <c r="G260" s="216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7"/>
      <c r="U260" s="9"/>
      <c r="V260" s="22"/>
      <c r="W260" s="22"/>
      <c r="X260" s="22"/>
    </row>
    <row r="261" spans="1:24" s="68" customFormat="1" ht="11.25" customHeight="1">
      <c r="A261" s="194"/>
      <c r="B261" s="231"/>
      <c r="C261" s="231"/>
      <c r="D261" s="191"/>
      <c r="E261" s="192"/>
      <c r="F261" s="192"/>
      <c r="G261" s="197"/>
      <c r="H261" s="197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</row>
    <row r="262" spans="1:24" s="73" customFormat="1" ht="12.75" customHeight="1">
      <c r="A262" s="172"/>
      <c r="B262" s="203"/>
      <c r="C262" s="203"/>
      <c r="D262" s="162"/>
      <c r="E262" s="163"/>
      <c r="F262" s="163"/>
      <c r="G262" s="163"/>
      <c r="H262" s="163"/>
      <c r="I262" s="163"/>
      <c r="J262" s="163"/>
      <c r="K262" s="163"/>
      <c r="L262" s="163"/>
      <c r="M262" s="160"/>
      <c r="N262" s="163"/>
      <c r="O262" s="163"/>
      <c r="P262" s="163"/>
      <c r="Q262" s="163"/>
      <c r="R262" s="164"/>
      <c r="S262" s="163"/>
      <c r="T262" s="163"/>
      <c r="U262" s="77"/>
      <c r="V262" s="78"/>
      <c r="W262" s="78"/>
      <c r="X262" s="78"/>
    </row>
    <row r="263" spans="1:24" s="1" customFormat="1" ht="11.25" customHeight="1">
      <c r="A263" s="156" t="s">
        <v>29</v>
      </c>
      <c r="B263" s="157"/>
      <c r="C263" s="157"/>
      <c r="D263" s="158">
        <f t="shared" ref="D263:I263" si="72">SUM(D261:D262)</f>
        <v>0</v>
      </c>
      <c r="E263" s="175">
        <f t="shared" si="72"/>
        <v>0</v>
      </c>
      <c r="F263" s="150">
        <f t="shared" si="72"/>
        <v>0</v>
      </c>
      <c r="G263" s="149">
        <f t="shared" si="72"/>
        <v>0</v>
      </c>
      <c r="H263" s="149">
        <f t="shared" si="72"/>
        <v>0</v>
      </c>
      <c r="I263" s="149">
        <f t="shared" si="72"/>
        <v>0</v>
      </c>
      <c r="J263" s="150">
        <f t="shared" ref="J263:T263" si="73">SUM(J261:J262)</f>
        <v>0</v>
      </c>
      <c r="K263" s="150">
        <f t="shared" si="73"/>
        <v>0</v>
      </c>
      <c r="L263" s="155">
        <f t="shared" si="73"/>
        <v>0</v>
      </c>
      <c r="M263" s="149">
        <f t="shared" si="73"/>
        <v>0</v>
      </c>
      <c r="N263" s="149">
        <f t="shared" si="73"/>
        <v>0</v>
      </c>
      <c r="O263" s="149">
        <f t="shared" si="73"/>
        <v>0</v>
      </c>
      <c r="P263" s="149">
        <f t="shared" si="73"/>
        <v>0</v>
      </c>
      <c r="Q263" s="149">
        <f t="shared" si="73"/>
        <v>0</v>
      </c>
      <c r="R263" s="150">
        <f t="shared" si="73"/>
        <v>0</v>
      </c>
      <c r="S263" s="149">
        <f t="shared" si="73"/>
        <v>0</v>
      </c>
      <c r="T263" s="150">
        <f t="shared" si="73"/>
        <v>0</v>
      </c>
      <c r="U263" s="29"/>
      <c r="V263" s="74"/>
      <c r="W263" s="74"/>
      <c r="X263" s="74"/>
    </row>
    <row r="264" spans="1:24" s="1" customFormat="1" ht="11.25" customHeight="1">
      <c r="A264" s="210" t="s">
        <v>57</v>
      </c>
      <c r="B264" s="211"/>
      <c r="C264" s="211"/>
      <c r="D264" s="212"/>
      <c r="E264" s="121"/>
      <c r="F264" s="51">
        <f>F263/F266</f>
        <v>0</v>
      </c>
      <c r="G264" s="153">
        <f t="shared" ref="G264:T264" si="74">G263/G266</f>
        <v>0</v>
      </c>
      <c r="H264" s="153">
        <f t="shared" si="74"/>
        <v>0</v>
      </c>
      <c r="I264" s="153">
        <f t="shared" si="74"/>
        <v>0</v>
      </c>
      <c r="J264" s="153">
        <f t="shared" si="74"/>
        <v>0</v>
      </c>
      <c r="K264" s="153">
        <f t="shared" si="74"/>
        <v>0</v>
      </c>
      <c r="L264" s="153">
        <f t="shared" si="74"/>
        <v>0</v>
      </c>
      <c r="M264" s="153">
        <f t="shared" si="74"/>
        <v>0</v>
      </c>
      <c r="N264" s="153">
        <f t="shared" si="74"/>
        <v>0</v>
      </c>
      <c r="O264" s="153">
        <f t="shared" si="74"/>
        <v>0</v>
      </c>
      <c r="P264" s="153">
        <f t="shared" si="74"/>
        <v>0</v>
      </c>
      <c r="Q264" s="153">
        <f t="shared" si="74"/>
        <v>0</v>
      </c>
      <c r="R264" s="153">
        <f t="shared" si="74"/>
        <v>0</v>
      </c>
      <c r="S264" s="153">
        <f t="shared" si="74"/>
        <v>0</v>
      </c>
      <c r="T264" s="153">
        <f t="shared" si="74"/>
        <v>0</v>
      </c>
      <c r="U264" s="76"/>
      <c r="V264" s="74"/>
      <c r="W264" s="74"/>
      <c r="X264" s="74"/>
    </row>
    <row r="265" spans="1:24" s="1" customFormat="1" ht="11.25" customHeight="1">
      <c r="A265" s="156" t="s">
        <v>56</v>
      </c>
      <c r="B265" s="157"/>
      <c r="C265" s="157"/>
      <c r="D265" s="61">
        <f>D258+D248</f>
        <v>1350</v>
      </c>
      <c r="E265" s="177">
        <f>E258+E248</f>
        <v>167</v>
      </c>
      <c r="F265" s="150">
        <f t="shared" ref="F265:T265" si="75">SUM(F248,F258,F263)</f>
        <v>47.919999999999995</v>
      </c>
      <c r="G265" s="149">
        <f t="shared" si="75"/>
        <v>63.469999999999992</v>
      </c>
      <c r="H265" s="149">
        <f t="shared" si="75"/>
        <v>208.89850000000001</v>
      </c>
      <c r="I265" s="149">
        <f t="shared" si="75"/>
        <v>1460.3200000000002</v>
      </c>
      <c r="J265" s="150">
        <f t="shared" si="75"/>
        <v>1.4485000000000001</v>
      </c>
      <c r="K265" s="150">
        <f t="shared" si="75"/>
        <v>1.1749999999999998</v>
      </c>
      <c r="L265" s="149">
        <f t="shared" si="75"/>
        <v>103.3115</v>
      </c>
      <c r="M265" s="150">
        <f t="shared" si="75"/>
        <v>24.979000000000003</v>
      </c>
      <c r="N265" s="150">
        <f t="shared" si="75"/>
        <v>8.4249999999999989</v>
      </c>
      <c r="O265" s="149">
        <f t="shared" si="75"/>
        <v>251.64750000000001</v>
      </c>
      <c r="P265" s="149">
        <f t="shared" si="75"/>
        <v>816.09749999999985</v>
      </c>
      <c r="Q265" s="150">
        <f t="shared" si="75"/>
        <v>6.2969999999999997</v>
      </c>
      <c r="R265" s="151">
        <f t="shared" si="75"/>
        <v>1.3250000000000001E-2</v>
      </c>
      <c r="S265" s="150">
        <f t="shared" si="75"/>
        <v>211.9</v>
      </c>
      <c r="T265" s="150">
        <f t="shared" si="75"/>
        <v>10.849</v>
      </c>
      <c r="U265" s="31"/>
      <c r="V265" s="74"/>
      <c r="W265" s="74"/>
      <c r="X265" s="74"/>
    </row>
    <row r="266" spans="1:24" s="1" customFormat="1" ht="11.25" customHeight="1">
      <c r="A266" s="207" t="s">
        <v>58</v>
      </c>
      <c r="B266" s="208"/>
      <c r="C266" s="208"/>
      <c r="D266" s="209"/>
      <c r="E266" s="127"/>
      <c r="F266" s="163">
        <v>90</v>
      </c>
      <c r="G266" s="161">
        <v>92</v>
      </c>
      <c r="H266" s="161">
        <v>383</v>
      </c>
      <c r="I266" s="161">
        <v>2720</v>
      </c>
      <c r="J266" s="163">
        <v>1.4</v>
      </c>
      <c r="K266" s="163">
        <v>1.6</v>
      </c>
      <c r="L266" s="162">
        <v>70</v>
      </c>
      <c r="M266" s="163">
        <v>0.9</v>
      </c>
      <c r="N266" s="162">
        <v>12</v>
      </c>
      <c r="O266" s="162">
        <v>1200</v>
      </c>
      <c r="P266" s="162">
        <v>1200</v>
      </c>
      <c r="Q266" s="162">
        <v>14</v>
      </c>
      <c r="R266" s="161">
        <v>0.1</v>
      </c>
      <c r="S266" s="162">
        <v>300</v>
      </c>
      <c r="T266" s="163">
        <v>18</v>
      </c>
      <c r="U266" s="77"/>
      <c r="V266" s="78"/>
      <c r="W266" s="78"/>
      <c r="X266" s="78"/>
    </row>
    <row r="267" spans="1:24" s="1" customFormat="1" ht="11.25" customHeight="1">
      <c r="A267" s="210" t="s">
        <v>57</v>
      </c>
      <c r="B267" s="211"/>
      <c r="C267" s="211"/>
      <c r="D267" s="212"/>
      <c r="E267" s="121"/>
      <c r="F267" s="51">
        <f t="shared" ref="F267:T267" si="76">F265/F266</f>
        <v>0.53244444444444439</v>
      </c>
      <c r="G267" s="153">
        <f t="shared" si="76"/>
        <v>0.68989130434782597</v>
      </c>
      <c r="H267" s="153">
        <f t="shared" si="76"/>
        <v>0.54542689295039171</v>
      </c>
      <c r="I267" s="153">
        <f t="shared" si="76"/>
        <v>0.53688235294117648</v>
      </c>
      <c r="J267" s="153">
        <f t="shared" si="76"/>
        <v>1.0346428571428572</v>
      </c>
      <c r="K267" s="153">
        <f t="shared" si="76"/>
        <v>0.73437499999999989</v>
      </c>
      <c r="L267" s="153">
        <f t="shared" si="76"/>
        <v>1.4758785714285714</v>
      </c>
      <c r="M267" s="33">
        <f t="shared" si="76"/>
        <v>27.754444444444445</v>
      </c>
      <c r="N267" s="153">
        <f t="shared" si="76"/>
        <v>0.70208333333333328</v>
      </c>
      <c r="O267" s="153">
        <f t="shared" si="76"/>
        <v>0.20970625000000001</v>
      </c>
      <c r="P267" s="153">
        <f t="shared" si="76"/>
        <v>0.68008124999999986</v>
      </c>
      <c r="Q267" s="153">
        <f t="shared" si="76"/>
        <v>0.44978571428571429</v>
      </c>
      <c r="R267" s="33">
        <f t="shared" si="76"/>
        <v>0.13250000000000001</v>
      </c>
      <c r="S267" s="153">
        <f t="shared" si="76"/>
        <v>0.70633333333333337</v>
      </c>
      <c r="T267" s="33">
        <f t="shared" si="76"/>
        <v>0.60272222222222227</v>
      </c>
      <c r="U267" s="34"/>
      <c r="V267" s="35"/>
      <c r="W267" s="35"/>
      <c r="X267" s="35"/>
    </row>
    <row r="268" spans="1:24" s="1" customFormat="1" ht="11.25" customHeight="1">
      <c r="A268" s="41" t="s">
        <v>71</v>
      </c>
      <c r="B268" s="41"/>
      <c r="C268" s="125"/>
      <c r="D268" s="125"/>
      <c r="E268" s="125"/>
      <c r="F268" s="59"/>
      <c r="G268" s="144"/>
      <c r="H268" s="2"/>
      <c r="I268" s="2"/>
      <c r="J268" s="144"/>
      <c r="K268" s="144"/>
      <c r="L268" s="144"/>
      <c r="M268" s="218" t="s">
        <v>59</v>
      </c>
      <c r="N268" s="218"/>
      <c r="O268" s="218"/>
      <c r="P268" s="218"/>
      <c r="Q268" s="218"/>
      <c r="R268" s="218"/>
      <c r="S268" s="218"/>
      <c r="T268" s="218"/>
      <c r="U268" s="10"/>
      <c r="V268" s="17"/>
      <c r="W268" s="17"/>
      <c r="X268" s="17"/>
    </row>
    <row r="269" spans="1:24" s="1" customFormat="1" ht="11.25" customHeight="1">
      <c r="A269" s="41"/>
      <c r="B269" s="41"/>
      <c r="C269" s="125"/>
      <c r="D269" s="125"/>
      <c r="E269" s="125"/>
      <c r="F269" s="59"/>
      <c r="G269" s="144"/>
      <c r="H269" s="2"/>
      <c r="I269" s="2"/>
      <c r="J269" s="144"/>
      <c r="K269" s="144"/>
      <c r="L269" s="144"/>
      <c r="M269" s="128"/>
      <c r="N269" s="128"/>
      <c r="O269" s="128"/>
      <c r="P269" s="128"/>
      <c r="Q269" s="128"/>
      <c r="R269" s="128"/>
      <c r="S269" s="128"/>
      <c r="T269" s="128"/>
      <c r="U269" s="10"/>
      <c r="V269" s="17"/>
      <c r="W269" s="17"/>
      <c r="X269" s="17"/>
    </row>
    <row r="270" spans="1:24" s="1" customFormat="1" ht="11.25" customHeight="1">
      <c r="A270" s="235" t="s">
        <v>41</v>
      </c>
      <c r="B270" s="235"/>
      <c r="C270" s="235"/>
      <c r="D270" s="235"/>
      <c r="E270" s="235"/>
      <c r="F270" s="235"/>
      <c r="G270" s="235"/>
      <c r="H270" s="235"/>
      <c r="I270" s="235"/>
      <c r="J270" s="235"/>
      <c r="K270" s="235"/>
      <c r="L270" s="235"/>
      <c r="M270" s="235"/>
      <c r="N270" s="235"/>
      <c r="O270" s="235"/>
      <c r="P270" s="235"/>
      <c r="Q270" s="235"/>
      <c r="R270" s="235"/>
      <c r="S270" s="235"/>
      <c r="T270" s="235"/>
      <c r="U270" s="11"/>
      <c r="V270" s="23"/>
      <c r="W270" s="23"/>
      <c r="X270" s="23"/>
    </row>
    <row r="271" spans="1:24" s="1" customFormat="1" ht="11.25" customHeight="1">
      <c r="A271" s="43" t="s">
        <v>50</v>
      </c>
      <c r="B271" s="41"/>
      <c r="C271" s="41"/>
      <c r="D271" s="2"/>
      <c r="E271" s="2"/>
      <c r="F271" s="140"/>
      <c r="G271" s="238" t="s">
        <v>35</v>
      </c>
      <c r="H271" s="238"/>
      <c r="I271" s="238"/>
      <c r="J271" s="144"/>
      <c r="K271" s="144"/>
      <c r="L271" s="219" t="s">
        <v>1</v>
      </c>
      <c r="M271" s="219"/>
      <c r="N271" s="248"/>
      <c r="O271" s="248"/>
      <c r="P271" s="248"/>
      <c r="Q271" s="248"/>
      <c r="R271" s="144"/>
      <c r="S271" s="144"/>
      <c r="T271" s="144"/>
      <c r="U271" s="12"/>
      <c r="V271" s="18"/>
      <c r="W271" s="18"/>
      <c r="X271" s="18"/>
    </row>
    <row r="272" spans="1:24" s="1" customFormat="1" ht="11.25" customHeight="1">
      <c r="A272" s="41"/>
      <c r="B272" s="41"/>
      <c r="C272" s="41"/>
      <c r="D272" s="232" t="s">
        <v>2</v>
      </c>
      <c r="E272" s="232"/>
      <c r="F272" s="232"/>
      <c r="G272" s="5">
        <v>2</v>
      </c>
      <c r="H272" s="144"/>
      <c r="I272" s="2"/>
      <c r="J272" s="2"/>
      <c r="K272" s="2"/>
      <c r="L272" s="232" t="s">
        <v>3</v>
      </c>
      <c r="M272" s="232"/>
      <c r="N272" s="238" t="str">
        <f>N238</f>
        <v>7-11 лет;12 и старше</v>
      </c>
      <c r="O272" s="238"/>
      <c r="P272" s="238"/>
      <c r="Q272" s="238"/>
      <c r="R272" s="238"/>
      <c r="S272" s="238"/>
      <c r="T272" s="238"/>
      <c r="U272" s="13"/>
      <c r="V272" s="19"/>
      <c r="W272" s="19"/>
      <c r="X272" s="19"/>
    </row>
    <row r="273" spans="1:24" s="73" customFormat="1" ht="21.75" customHeight="1">
      <c r="A273" s="246" t="s">
        <v>4</v>
      </c>
      <c r="B273" s="239" t="s">
        <v>5</v>
      </c>
      <c r="C273" s="240"/>
      <c r="D273" s="246" t="s">
        <v>6</v>
      </c>
      <c r="E273" s="124"/>
      <c r="F273" s="228" t="s">
        <v>7</v>
      </c>
      <c r="G273" s="229"/>
      <c r="H273" s="230"/>
      <c r="I273" s="246" t="s">
        <v>8</v>
      </c>
      <c r="J273" s="228" t="s">
        <v>9</v>
      </c>
      <c r="K273" s="229"/>
      <c r="L273" s="229"/>
      <c r="M273" s="229"/>
      <c r="N273" s="230"/>
      <c r="O273" s="228" t="s">
        <v>10</v>
      </c>
      <c r="P273" s="229"/>
      <c r="Q273" s="229"/>
      <c r="R273" s="229"/>
      <c r="S273" s="229"/>
      <c r="T273" s="230"/>
      <c r="U273" s="7"/>
      <c r="V273" s="18"/>
      <c r="W273" s="18"/>
      <c r="X273" s="18"/>
    </row>
    <row r="274" spans="1:24" s="73" customFormat="1" ht="21" customHeight="1">
      <c r="A274" s="247"/>
      <c r="B274" s="241"/>
      <c r="C274" s="242"/>
      <c r="D274" s="247"/>
      <c r="E274" s="123"/>
      <c r="F274" s="57" t="s">
        <v>11</v>
      </c>
      <c r="G274" s="129" t="s">
        <v>12</v>
      </c>
      <c r="H274" s="129" t="s">
        <v>13</v>
      </c>
      <c r="I274" s="247"/>
      <c r="J274" s="129" t="s">
        <v>14</v>
      </c>
      <c r="K274" s="129" t="s">
        <v>52</v>
      </c>
      <c r="L274" s="129" t="s">
        <v>15</v>
      </c>
      <c r="M274" s="129" t="s">
        <v>16</v>
      </c>
      <c r="N274" s="129" t="s">
        <v>17</v>
      </c>
      <c r="O274" s="129" t="s">
        <v>18</v>
      </c>
      <c r="P274" s="129" t="s">
        <v>19</v>
      </c>
      <c r="Q274" s="129" t="s">
        <v>53</v>
      </c>
      <c r="R274" s="129" t="s">
        <v>54</v>
      </c>
      <c r="S274" s="129" t="s">
        <v>20</v>
      </c>
      <c r="T274" s="129" t="s">
        <v>21</v>
      </c>
      <c r="U274" s="7"/>
      <c r="V274" s="18"/>
      <c r="W274" s="18"/>
      <c r="X274" s="18"/>
    </row>
    <row r="275" spans="1:24" s="73" customFormat="1" ht="11.25" customHeight="1">
      <c r="A275" s="172">
        <v>1</v>
      </c>
      <c r="B275" s="226">
        <v>2</v>
      </c>
      <c r="C275" s="227"/>
      <c r="D275" s="28">
        <v>3</v>
      </c>
      <c r="E275" s="28"/>
      <c r="F275" s="58">
        <v>4</v>
      </c>
      <c r="G275" s="28">
        <v>5</v>
      </c>
      <c r="H275" s="28">
        <v>6</v>
      </c>
      <c r="I275" s="28">
        <v>7</v>
      </c>
      <c r="J275" s="28">
        <v>8</v>
      </c>
      <c r="K275" s="28">
        <v>9</v>
      </c>
      <c r="L275" s="28">
        <v>10</v>
      </c>
      <c r="M275" s="28">
        <v>11</v>
      </c>
      <c r="N275" s="28">
        <v>12</v>
      </c>
      <c r="O275" s="28">
        <v>13</v>
      </c>
      <c r="P275" s="28">
        <v>14</v>
      </c>
      <c r="Q275" s="28">
        <v>15</v>
      </c>
      <c r="R275" s="28">
        <v>16</v>
      </c>
      <c r="S275" s="28">
        <v>17</v>
      </c>
      <c r="T275" s="28">
        <v>18</v>
      </c>
      <c r="U275" s="8"/>
      <c r="V275" s="18"/>
      <c r="W275" s="18"/>
      <c r="X275" s="18"/>
    </row>
    <row r="276" spans="1:24" s="73" customFormat="1" ht="11.25" customHeight="1">
      <c r="A276" s="215" t="s">
        <v>24</v>
      </c>
      <c r="B276" s="216"/>
      <c r="C276" s="216"/>
      <c r="D276" s="216"/>
      <c r="E276" s="216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7"/>
      <c r="U276" s="9"/>
      <c r="V276" s="18"/>
      <c r="W276" s="18"/>
      <c r="X276" s="18"/>
    </row>
    <row r="277" spans="1:24" s="180" customFormat="1" ht="21.75" customHeight="1">
      <c r="A277" s="167">
        <v>173</v>
      </c>
      <c r="B277" s="201" t="s">
        <v>91</v>
      </c>
      <c r="C277" s="202"/>
      <c r="D277" s="162">
        <v>250</v>
      </c>
      <c r="E277" s="163">
        <v>20.12</v>
      </c>
      <c r="F277" s="163">
        <f>7.3*D277/200</f>
        <v>9.125</v>
      </c>
      <c r="G277" s="163">
        <f>12.5*D277/200</f>
        <v>15.625</v>
      </c>
      <c r="H277" s="163">
        <f>54.3*D277/200</f>
        <v>67.875</v>
      </c>
      <c r="I277" s="163">
        <f>F277*4+G277*9+H277*4</f>
        <v>448.625</v>
      </c>
      <c r="J277" s="163">
        <f>0.14*D277/200</f>
        <v>0.17499999999999999</v>
      </c>
      <c r="K277" s="163">
        <f>0.18*D277/200</f>
        <v>0.22500000000000001</v>
      </c>
      <c r="L277" s="163">
        <f>3.35*D277/200</f>
        <v>4.1875</v>
      </c>
      <c r="M277" s="164">
        <f>0.037*D277/200</f>
        <v>4.6249999999999999E-2</v>
      </c>
      <c r="N277" s="163">
        <f>1.3*D277/200</f>
        <v>1.625</v>
      </c>
      <c r="O277" s="161">
        <f>147.6*D277/200</f>
        <v>184.5</v>
      </c>
      <c r="P277" s="161">
        <f>198.6*D277/200</f>
        <v>248.25</v>
      </c>
      <c r="Q277" s="162">
        <v>0</v>
      </c>
      <c r="R277" s="161">
        <v>0</v>
      </c>
      <c r="S277" s="161">
        <f>57.8*D277/200</f>
        <v>72.25</v>
      </c>
      <c r="T277" s="163">
        <f>1.3*D277/200</f>
        <v>1.625</v>
      </c>
      <c r="U277" s="178"/>
      <c r="V277" s="179"/>
      <c r="W277" s="179"/>
      <c r="X277" s="179"/>
    </row>
    <row r="278" spans="1:24" s="144" customFormat="1" ht="12" customHeight="1">
      <c r="A278" s="174">
        <v>15</v>
      </c>
      <c r="B278" s="201" t="s">
        <v>66</v>
      </c>
      <c r="C278" s="202"/>
      <c r="D278" s="162">
        <v>25</v>
      </c>
      <c r="E278" s="163">
        <v>17.5</v>
      </c>
      <c r="F278" s="163">
        <f>2.32*D278/10</f>
        <v>5.7999999999999989</v>
      </c>
      <c r="G278" s="163">
        <f>3.4*D278/10</f>
        <v>8.5</v>
      </c>
      <c r="H278" s="163">
        <f>0.01*D278/10</f>
        <v>2.5000000000000001E-2</v>
      </c>
      <c r="I278" s="163">
        <f>F278*4+G278*9+H278*4</f>
        <v>99.799999999999983</v>
      </c>
      <c r="J278" s="163">
        <f>0.004*D278/10</f>
        <v>0.01</v>
      </c>
      <c r="K278" s="163">
        <f>0.03*D278/10</f>
        <v>7.4999999999999997E-2</v>
      </c>
      <c r="L278" s="163">
        <f>0.07*D278/10</f>
        <v>0.17500000000000002</v>
      </c>
      <c r="M278" s="164">
        <f>0.023*D278/10</f>
        <v>5.7499999999999996E-2</v>
      </c>
      <c r="N278" s="163">
        <f>0.05*D278/10</f>
        <v>0.125</v>
      </c>
      <c r="O278" s="163">
        <f>88*D278/10</f>
        <v>220</v>
      </c>
      <c r="P278" s="163">
        <f>50*D278/10</f>
        <v>125</v>
      </c>
      <c r="Q278" s="163">
        <f>0.4*D278/10</f>
        <v>1</v>
      </c>
      <c r="R278" s="164">
        <f>0.02*D278/10</f>
        <v>0.05</v>
      </c>
      <c r="S278" s="163">
        <f>3.5*D278/10</f>
        <v>8.75</v>
      </c>
      <c r="T278" s="163">
        <f>0.13*D278/10</f>
        <v>0.32500000000000001</v>
      </c>
      <c r="U278" s="165"/>
      <c r="V278" s="145"/>
      <c r="W278" s="145"/>
      <c r="X278" s="146"/>
    </row>
    <row r="279" spans="1:24" s="144" customFormat="1" ht="12.75" customHeight="1">
      <c r="A279" s="172">
        <v>377</v>
      </c>
      <c r="B279" s="203" t="s">
        <v>43</v>
      </c>
      <c r="C279" s="203"/>
      <c r="D279" s="162">
        <v>200</v>
      </c>
      <c r="E279" s="163">
        <v>3.81</v>
      </c>
      <c r="F279" s="163">
        <v>0.26</v>
      </c>
      <c r="G279" s="163">
        <v>0.06</v>
      </c>
      <c r="H279" s="163">
        <v>15.22</v>
      </c>
      <c r="I279" s="163">
        <f>F279*4+G279*9+H279*4</f>
        <v>62.46</v>
      </c>
      <c r="J279" s="163"/>
      <c r="K279" s="163">
        <v>0.01</v>
      </c>
      <c r="L279" s="163">
        <v>2.9</v>
      </c>
      <c r="M279" s="160">
        <v>0</v>
      </c>
      <c r="N279" s="163">
        <v>0.06</v>
      </c>
      <c r="O279" s="163">
        <v>8.0500000000000007</v>
      </c>
      <c r="P279" s="163">
        <v>9.7799999999999994</v>
      </c>
      <c r="Q279" s="163">
        <v>1.7000000000000001E-2</v>
      </c>
      <c r="R279" s="164">
        <v>0</v>
      </c>
      <c r="S279" s="163">
        <v>5.24</v>
      </c>
      <c r="T279" s="163">
        <v>0.87</v>
      </c>
      <c r="U279" s="165"/>
      <c r="V279" s="166"/>
      <c r="W279" s="166"/>
      <c r="X279" s="166"/>
    </row>
    <row r="280" spans="1:24" s="144" customFormat="1" ht="11.25" customHeight="1">
      <c r="A280" s="174">
        <v>338</v>
      </c>
      <c r="B280" s="203" t="s">
        <v>87</v>
      </c>
      <c r="C280" s="203"/>
      <c r="D280" s="162">
        <v>130</v>
      </c>
      <c r="E280" s="163">
        <v>29.05</v>
      </c>
      <c r="F280" s="163">
        <v>0.4</v>
      </c>
      <c r="G280" s="163">
        <v>0.4</v>
      </c>
      <c r="H280" s="163">
        <v>9.8000000000000007</v>
      </c>
      <c r="I280" s="163">
        <f>F280*4+G280*9+H280*4</f>
        <v>44.400000000000006</v>
      </c>
      <c r="J280" s="163">
        <v>0.04</v>
      </c>
      <c r="K280" s="163">
        <v>0.02</v>
      </c>
      <c r="L280" s="162">
        <v>10</v>
      </c>
      <c r="M280" s="162">
        <v>0.02</v>
      </c>
      <c r="N280" s="163">
        <v>0.2</v>
      </c>
      <c r="O280" s="163">
        <v>16</v>
      </c>
      <c r="P280" s="163">
        <v>11</v>
      </c>
      <c r="Q280" s="162">
        <v>0.03</v>
      </c>
      <c r="R280" s="162">
        <v>2E-3</v>
      </c>
      <c r="S280" s="163">
        <v>9</v>
      </c>
      <c r="T280" s="163">
        <v>2.2000000000000002</v>
      </c>
      <c r="U280" s="165"/>
      <c r="V280" s="145"/>
      <c r="W280" s="145"/>
      <c r="X280" s="146"/>
    </row>
    <row r="281" spans="1:24" s="144" customFormat="1" ht="11.25" customHeight="1">
      <c r="A281" s="167" t="s">
        <v>60</v>
      </c>
      <c r="B281" s="201" t="s">
        <v>49</v>
      </c>
      <c r="C281" s="202"/>
      <c r="D281" s="162">
        <v>30</v>
      </c>
      <c r="E281" s="163">
        <v>2.52</v>
      </c>
      <c r="F281" s="163">
        <f>1.52*D281/30</f>
        <v>1.52</v>
      </c>
      <c r="G281" s="164">
        <f>0.16*D281/30</f>
        <v>0.16</v>
      </c>
      <c r="H281" s="164">
        <f>9.84*D281/30</f>
        <v>9.84</v>
      </c>
      <c r="I281" s="164">
        <f>F281*4+G281*9+H281*4</f>
        <v>46.879999999999995</v>
      </c>
      <c r="J281" s="164">
        <f>0.02*D281/30</f>
        <v>0.02</v>
      </c>
      <c r="K281" s="164">
        <f>0.01*D281/30</f>
        <v>0.01</v>
      </c>
      <c r="L281" s="164">
        <f>0.44*D281/30</f>
        <v>0.44</v>
      </c>
      <c r="M281" s="164">
        <v>0</v>
      </c>
      <c r="N281" s="164">
        <f>0.7*D281/30</f>
        <v>0.7</v>
      </c>
      <c r="O281" s="164">
        <f>4*D281/30</f>
        <v>4</v>
      </c>
      <c r="P281" s="164">
        <f>13*D281/30</f>
        <v>13</v>
      </c>
      <c r="Q281" s="164">
        <f>0.008*D281/30</f>
        <v>8.0000000000000002E-3</v>
      </c>
      <c r="R281" s="164">
        <f>0.001*D281/30</f>
        <v>1E-3</v>
      </c>
      <c r="S281" s="164">
        <v>0</v>
      </c>
      <c r="T281" s="164">
        <f>0.22*D281/30</f>
        <v>0.22</v>
      </c>
      <c r="U281" s="165"/>
      <c r="V281" s="166"/>
      <c r="W281" s="166"/>
      <c r="X281" s="166"/>
    </row>
    <row r="282" spans="1:24" s="1" customFormat="1" ht="11.25" customHeight="1">
      <c r="A282" s="156" t="s">
        <v>25</v>
      </c>
      <c r="B282" s="157"/>
      <c r="C282" s="157"/>
      <c r="D282" s="158">
        <f t="shared" ref="D282:T282" si="77">SUM(D277:D281)</f>
        <v>635</v>
      </c>
      <c r="E282" s="175">
        <f t="shared" si="77"/>
        <v>73</v>
      </c>
      <c r="F282" s="150">
        <f t="shared" si="77"/>
        <v>17.105</v>
      </c>
      <c r="G282" s="149">
        <f t="shared" si="77"/>
        <v>24.744999999999997</v>
      </c>
      <c r="H282" s="149">
        <f t="shared" si="77"/>
        <v>102.76</v>
      </c>
      <c r="I282" s="149">
        <f t="shared" si="77"/>
        <v>702.16499999999996</v>
      </c>
      <c r="J282" s="150">
        <f t="shared" si="77"/>
        <v>0.245</v>
      </c>
      <c r="K282" s="150">
        <f t="shared" si="77"/>
        <v>0.34</v>
      </c>
      <c r="L282" s="150">
        <f t="shared" si="77"/>
        <v>17.702500000000001</v>
      </c>
      <c r="M282" s="150">
        <f t="shared" si="77"/>
        <v>0.12375</v>
      </c>
      <c r="N282" s="150">
        <f t="shared" si="77"/>
        <v>2.71</v>
      </c>
      <c r="O282" s="150">
        <f t="shared" si="77"/>
        <v>432.55</v>
      </c>
      <c r="P282" s="150">
        <f t="shared" si="77"/>
        <v>407.03</v>
      </c>
      <c r="Q282" s="150">
        <f t="shared" si="77"/>
        <v>1.0549999999999999</v>
      </c>
      <c r="R282" s="151">
        <f t="shared" si="77"/>
        <v>5.3000000000000005E-2</v>
      </c>
      <c r="S282" s="150">
        <f t="shared" si="77"/>
        <v>95.24</v>
      </c>
      <c r="T282" s="150">
        <f t="shared" si="77"/>
        <v>5.2399999999999993</v>
      </c>
      <c r="U282" s="149"/>
      <c r="V282" s="152"/>
      <c r="W282" s="152"/>
      <c r="X282" s="152"/>
    </row>
    <row r="283" spans="1:24" s="1" customFormat="1" ht="11.25" customHeight="1">
      <c r="A283" s="210" t="s">
        <v>57</v>
      </c>
      <c r="B283" s="211"/>
      <c r="C283" s="211"/>
      <c r="D283" s="212"/>
      <c r="E283" s="173"/>
      <c r="F283" s="171">
        <f t="shared" ref="F283:T283" si="78">F282/F300</f>
        <v>0.19005555555555556</v>
      </c>
      <c r="G283" s="153">
        <f t="shared" si="78"/>
        <v>0.26896739130434782</v>
      </c>
      <c r="H283" s="153">
        <f t="shared" si="78"/>
        <v>0.26830287206266318</v>
      </c>
      <c r="I283" s="153">
        <f t="shared" si="78"/>
        <v>0.25814889705882349</v>
      </c>
      <c r="J283" s="153">
        <f t="shared" si="78"/>
        <v>0.17500000000000002</v>
      </c>
      <c r="K283" s="153">
        <f t="shared" si="78"/>
        <v>0.21249999999999999</v>
      </c>
      <c r="L283" s="153">
        <f t="shared" si="78"/>
        <v>0.25289285714285714</v>
      </c>
      <c r="M283" s="153">
        <f t="shared" si="78"/>
        <v>0.13749999999999998</v>
      </c>
      <c r="N283" s="153">
        <f t="shared" si="78"/>
        <v>0.22583333333333333</v>
      </c>
      <c r="O283" s="153">
        <f t="shared" si="78"/>
        <v>0.36045833333333333</v>
      </c>
      <c r="P283" s="153">
        <f t="shared" si="78"/>
        <v>0.33919166666666667</v>
      </c>
      <c r="Q283" s="153">
        <f t="shared" si="78"/>
        <v>7.5357142857142859E-2</v>
      </c>
      <c r="R283" s="153">
        <f t="shared" si="78"/>
        <v>0.53</v>
      </c>
      <c r="S283" s="153">
        <f t="shared" si="78"/>
        <v>0.31746666666666667</v>
      </c>
      <c r="T283" s="153">
        <f t="shared" si="78"/>
        <v>0.2911111111111111</v>
      </c>
      <c r="U283" s="154"/>
      <c r="V283" s="152"/>
      <c r="W283" s="152"/>
      <c r="X283" s="152"/>
    </row>
    <row r="284" spans="1:24" s="1" customFormat="1" ht="11.25" customHeight="1">
      <c r="A284" s="215" t="s">
        <v>26</v>
      </c>
      <c r="B284" s="216"/>
      <c r="C284" s="216"/>
      <c r="D284" s="216"/>
      <c r="E284" s="216"/>
      <c r="F284" s="216"/>
      <c r="G284" s="216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7"/>
      <c r="U284" s="9"/>
      <c r="V284" s="22"/>
      <c r="W284" s="22"/>
      <c r="X284" s="22"/>
    </row>
    <row r="285" spans="1:24" s="144" customFormat="1" ht="20.25" customHeight="1">
      <c r="A285" s="159" t="s">
        <v>60</v>
      </c>
      <c r="B285" s="201" t="s">
        <v>99</v>
      </c>
      <c r="C285" s="202"/>
      <c r="D285" s="168">
        <v>50</v>
      </c>
      <c r="E285" s="168">
        <v>10.81</v>
      </c>
      <c r="F285" s="176">
        <f>0.5*D285/60</f>
        <v>0.41666666666666669</v>
      </c>
      <c r="G285" s="176">
        <f>0.03*D285/30</f>
        <v>0.05</v>
      </c>
      <c r="H285" s="176">
        <f>1.7*D285/60</f>
        <v>1.4166666666666667</v>
      </c>
      <c r="I285" s="176">
        <f>F285*4+G285*9+H285*4</f>
        <v>7.7833333333333332</v>
      </c>
      <c r="J285" s="169">
        <v>8.9999999999999993E-3</v>
      </c>
      <c r="K285" s="176">
        <v>0.01</v>
      </c>
      <c r="L285" s="170">
        <v>3</v>
      </c>
      <c r="M285" s="169">
        <v>3.0000000000000001E-3</v>
      </c>
      <c r="N285" s="168">
        <v>0.03</v>
      </c>
      <c r="O285" s="176">
        <v>6.9</v>
      </c>
      <c r="P285" s="176">
        <v>12.6</v>
      </c>
      <c r="Q285" s="169">
        <v>6.4000000000000001E-2</v>
      </c>
      <c r="R285" s="169">
        <v>1E-3</v>
      </c>
      <c r="S285" s="176">
        <v>4.2</v>
      </c>
      <c r="T285" s="176">
        <v>0.18</v>
      </c>
      <c r="U285" s="147"/>
      <c r="V285" s="148"/>
      <c r="W285" s="148"/>
      <c r="X285" s="148"/>
    </row>
    <row r="286" spans="1:24" s="180" customFormat="1" ht="12.75" customHeight="1">
      <c r="A286" s="172">
        <v>84</v>
      </c>
      <c r="B286" s="201" t="s">
        <v>67</v>
      </c>
      <c r="C286" s="202"/>
      <c r="D286" s="160">
        <v>250</v>
      </c>
      <c r="E286" s="163">
        <v>15.07</v>
      </c>
      <c r="F286" s="163">
        <f>1.77*D286/200</f>
        <v>2.2124999999999999</v>
      </c>
      <c r="G286" s="163">
        <f>2.65*D286/200</f>
        <v>3.3125</v>
      </c>
      <c r="H286" s="163">
        <f>12.74*D286/200</f>
        <v>15.925000000000001</v>
      </c>
      <c r="I286" s="163">
        <f t="shared" ref="I286:I291" si="79">F286*4+G286*9+H286*4</f>
        <v>102.36250000000001</v>
      </c>
      <c r="J286" s="164">
        <f>0.05*D286/200</f>
        <v>6.25E-2</v>
      </c>
      <c r="K286" s="164">
        <f>0.05*D286/200</f>
        <v>6.25E-2</v>
      </c>
      <c r="L286" s="163">
        <f>19*D286/200</f>
        <v>23.75</v>
      </c>
      <c r="M286" s="163">
        <f>0.74*D286/200</f>
        <v>0.92500000000000004</v>
      </c>
      <c r="N286" s="160">
        <f>0.1*D286/200</f>
        <v>0.125</v>
      </c>
      <c r="O286" s="163">
        <f>43.11*D286/200</f>
        <v>53.887500000000003</v>
      </c>
      <c r="P286" s="163">
        <f>48.75*D286/200</f>
        <v>60.9375</v>
      </c>
      <c r="Q286" s="164">
        <f>1.3*D286/200</f>
        <v>1.625</v>
      </c>
      <c r="R286" s="164">
        <f>0.0032*D286/200</f>
        <v>4.0000000000000001E-3</v>
      </c>
      <c r="S286" s="163">
        <f>22.44*D286/200</f>
        <v>28.05</v>
      </c>
      <c r="T286" s="163">
        <f>0.8*D286/200</f>
        <v>1</v>
      </c>
      <c r="U286" s="178"/>
      <c r="V286" s="179"/>
      <c r="W286" s="179"/>
      <c r="X286" s="179"/>
    </row>
    <row r="287" spans="1:24" s="180" customFormat="1" ht="12.75" customHeight="1">
      <c r="A287" s="172">
        <v>295</v>
      </c>
      <c r="B287" s="258" t="s">
        <v>69</v>
      </c>
      <c r="C287" s="259"/>
      <c r="D287" s="160">
        <v>90</v>
      </c>
      <c r="E287" s="160">
        <v>44.02</v>
      </c>
      <c r="F287" s="163">
        <v>13.71</v>
      </c>
      <c r="G287" s="161">
        <v>5.22</v>
      </c>
      <c r="H287" s="161">
        <v>9.14</v>
      </c>
      <c r="I287" s="163">
        <v>138.41999999999999</v>
      </c>
      <c r="J287" s="160">
        <v>0.81</v>
      </c>
      <c r="K287" s="163">
        <v>7.1999999999999995E-2</v>
      </c>
      <c r="L287" s="163">
        <v>0.21</v>
      </c>
      <c r="M287" s="160">
        <f>0.001*D287/100</f>
        <v>8.9999999999999998E-4</v>
      </c>
      <c r="N287" s="160">
        <v>6.7000000000000004E-2</v>
      </c>
      <c r="O287" s="161">
        <v>12.62</v>
      </c>
      <c r="P287" s="161">
        <v>84.58</v>
      </c>
      <c r="Q287" s="163">
        <v>1.0529999999999999</v>
      </c>
      <c r="R287" s="164">
        <f>0.04*D287/100</f>
        <v>3.6000000000000004E-2</v>
      </c>
      <c r="S287" s="161">
        <v>14.61</v>
      </c>
      <c r="T287" s="163">
        <v>1.7</v>
      </c>
      <c r="U287" s="178"/>
      <c r="V287" s="179"/>
      <c r="W287" s="179"/>
      <c r="X287" s="179"/>
    </row>
    <row r="288" spans="1:24" s="180" customFormat="1" ht="12.75" customHeight="1">
      <c r="A288" s="167">
        <v>171</v>
      </c>
      <c r="B288" s="201" t="s">
        <v>22</v>
      </c>
      <c r="C288" s="202"/>
      <c r="D288" s="162">
        <v>180</v>
      </c>
      <c r="E288" s="163">
        <v>14.6</v>
      </c>
      <c r="F288" s="163">
        <f>6.57*D288/150</f>
        <v>7.8840000000000012</v>
      </c>
      <c r="G288" s="163">
        <f>4.19*D288/150</f>
        <v>5.0280000000000005</v>
      </c>
      <c r="H288" s="163">
        <f>32.32*D288/150</f>
        <v>38.783999999999999</v>
      </c>
      <c r="I288" s="163">
        <f>F288*4+G288*9+H288*4</f>
        <v>231.92400000000001</v>
      </c>
      <c r="J288" s="164">
        <f>0.06*D288/150</f>
        <v>7.1999999999999995E-2</v>
      </c>
      <c r="K288" s="164">
        <f>0.03*D288/150</f>
        <v>3.5999999999999997E-2</v>
      </c>
      <c r="L288" s="160">
        <v>0</v>
      </c>
      <c r="M288" s="164">
        <f>0.03*D288/150</f>
        <v>3.5999999999999997E-2</v>
      </c>
      <c r="N288" s="160">
        <f>2.55*D288/150</f>
        <v>3.0599999999999996</v>
      </c>
      <c r="O288" s="163">
        <f>18.12*D288/150</f>
        <v>21.744000000000003</v>
      </c>
      <c r="P288" s="163">
        <f>157.03*D288/150</f>
        <v>188.43600000000001</v>
      </c>
      <c r="Q288" s="164">
        <f>0.8874*D288/150</f>
        <v>1.06488</v>
      </c>
      <c r="R288" s="164">
        <f>0.00135*D288/150</f>
        <v>1.6200000000000001E-3</v>
      </c>
      <c r="S288" s="163">
        <f>104.45*D288/150</f>
        <v>125.34</v>
      </c>
      <c r="T288" s="163">
        <f>3.55*D288/150</f>
        <v>4.26</v>
      </c>
      <c r="U288" s="178"/>
      <c r="V288" s="179"/>
      <c r="W288" s="179"/>
      <c r="X288" s="179"/>
    </row>
    <row r="289" spans="1:24" s="180" customFormat="1">
      <c r="A289" s="69">
        <v>345</v>
      </c>
      <c r="B289" s="206" t="s">
        <v>46</v>
      </c>
      <c r="C289" s="206"/>
      <c r="D289" s="71">
        <v>200</v>
      </c>
      <c r="E289" s="67">
        <v>4.9000000000000004</v>
      </c>
      <c r="F289" s="67">
        <v>0.06</v>
      </c>
      <c r="G289" s="67">
        <v>0.02</v>
      </c>
      <c r="H289" s="67">
        <v>20.73</v>
      </c>
      <c r="I289" s="67">
        <v>83.34</v>
      </c>
      <c r="J289" s="67">
        <v>0</v>
      </c>
      <c r="K289" s="67">
        <v>0</v>
      </c>
      <c r="L289" s="67">
        <v>2.5</v>
      </c>
      <c r="M289" s="67">
        <v>4.0000000000000001E-3</v>
      </c>
      <c r="N289" s="67">
        <v>0.2</v>
      </c>
      <c r="O289" s="67">
        <v>4</v>
      </c>
      <c r="P289" s="67">
        <v>3.3</v>
      </c>
      <c r="Q289" s="67">
        <v>0.08</v>
      </c>
      <c r="R289" s="67">
        <v>1E-3</v>
      </c>
      <c r="S289" s="67">
        <v>1.7</v>
      </c>
      <c r="T289" s="67">
        <v>0.15</v>
      </c>
      <c r="U289" s="178"/>
      <c r="V289" s="179"/>
      <c r="W289" s="179"/>
      <c r="X289" s="179"/>
    </row>
    <row r="290" spans="1:24" s="180" customFormat="1" ht="11.25" customHeight="1">
      <c r="A290" s="52" t="s">
        <v>60</v>
      </c>
      <c r="B290" s="201" t="s">
        <v>44</v>
      </c>
      <c r="C290" s="202"/>
      <c r="D290" s="162">
        <v>40</v>
      </c>
      <c r="E290" s="163">
        <v>2.08</v>
      </c>
      <c r="F290" s="163">
        <f>2.64*D290/40</f>
        <v>2.64</v>
      </c>
      <c r="G290" s="163">
        <f>0.48*D290/40</f>
        <v>0.48</v>
      </c>
      <c r="H290" s="163">
        <f>13.68*D290/40</f>
        <v>13.680000000000001</v>
      </c>
      <c r="I290" s="161">
        <f t="shared" si="79"/>
        <v>69.600000000000009</v>
      </c>
      <c r="J290" s="160">
        <f>0.08*D290/40</f>
        <v>0.08</v>
      </c>
      <c r="K290" s="163">
        <f>0.04*D290/40</f>
        <v>0.04</v>
      </c>
      <c r="L290" s="162">
        <v>0</v>
      </c>
      <c r="M290" s="162">
        <v>0</v>
      </c>
      <c r="N290" s="163">
        <f>2.4*D290/40</f>
        <v>2.4</v>
      </c>
      <c r="O290" s="163">
        <f>14*D290/40</f>
        <v>14</v>
      </c>
      <c r="P290" s="163">
        <f>63.2*D290/40</f>
        <v>63.2</v>
      </c>
      <c r="Q290" s="163">
        <f>1.2*D290/40</f>
        <v>1.2</v>
      </c>
      <c r="R290" s="164">
        <f>0.001*D290/40</f>
        <v>1E-3</v>
      </c>
      <c r="S290" s="163">
        <f>9.4*D290/40</f>
        <v>9.4</v>
      </c>
      <c r="T290" s="160">
        <f>0.78*D290/40</f>
        <v>0.78</v>
      </c>
      <c r="U290" s="188"/>
      <c r="V290" s="189"/>
      <c r="W290" s="189"/>
      <c r="X290" s="189"/>
    </row>
    <row r="291" spans="1:24" s="73" customFormat="1" ht="11.25" customHeight="1">
      <c r="A291" s="167" t="s">
        <v>60</v>
      </c>
      <c r="B291" s="201" t="s">
        <v>49</v>
      </c>
      <c r="C291" s="202"/>
      <c r="D291" s="162">
        <v>30</v>
      </c>
      <c r="E291" s="163">
        <v>2.52</v>
      </c>
      <c r="F291" s="163">
        <f>1.52*D291/30</f>
        <v>1.52</v>
      </c>
      <c r="G291" s="164">
        <f>0.16*D291/30</f>
        <v>0.16</v>
      </c>
      <c r="H291" s="164">
        <f>9.84*D291/30</f>
        <v>9.84</v>
      </c>
      <c r="I291" s="164">
        <f t="shared" si="79"/>
        <v>46.879999999999995</v>
      </c>
      <c r="J291" s="164">
        <f>0.02*D291/30</f>
        <v>0.02</v>
      </c>
      <c r="K291" s="164">
        <f>0.01*D291/30</f>
        <v>0.01</v>
      </c>
      <c r="L291" s="164">
        <f>0.44*D291/30</f>
        <v>0.44</v>
      </c>
      <c r="M291" s="164">
        <v>0</v>
      </c>
      <c r="N291" s="164">
        <f>0.7*D291/30</f>
        <v>0.7</v>
      </c>
      <c r="O291" s="164">
        <f>4*D291/30</f>
        <v>4</v>
      </c>
      <c r="P291" s="164">
        <f>13*D291/30</f>
        <v>13</v>
      </c>
      <c r="Q291" s="164">
        <f>0.008*D291/30</f>
        <v>8.0000000000000002E-3</v>
      </c>
      <c r="R291" s="164">
        <f>0.001*D291/30</f>
        <v>1E-3</v>
      </c>
      <c r="S291" s="164">
        <v>0</v>
      </c>
      <c r="T291" s="164">
        <f>0.22*D291/30</f>
        <v>0.22</v>
      </c>
      <c r="U291" s="77"/>
      <c r="V291" s="78"/>
      <c r="W291" s="78"/>
      <c r="X291" s="78"/>
    </row>
    <row r="292" spans="1:24" s="73" customFormat="1" ht="11.25" customHeight="1">
      <c r="A292" s="156" t="s">
        <v>27</v>
      </c>
      <c r="B292" s="157"/>
      <c r="C292" s="157"/>
      <c r="D292" s="158">
        <f t="shared" ref="D292:I292" si="80">SUM(D285:D291)</f>
        <v>840</v>
      </c>
      <c r="E292" s="175">
        <f t="shared" si="80"/>
        <v>94</v>
      </c>
      <c r="F292" s="150">
        <f t="shared" si="80"/>
        <v>28.443166666666666</v>
      </c>
      <c r="G292" s="149">
        <f t="shared" si="80"/>
        <v>14.2705</v>
      </c>
      <c r="H292" s="149">
        <f t="shared" si="80"/>
        <v>109.51566666666669</v>
      </c>
      <c r="I292" s="149">
        <f t="shared" si="80"/>
        <v>680.30983333333336</v>
      </c>
      <c r="J292" s="150">
        <f t="shared" ref="J292:T292" si="81">SUM(J285:J291)</f>
        <v>1.0535000000000001</v>
      </c>
      <c r="K292" s="150">
        <f t="shared" si="81"/>
        <v>0.23050000000000001</v>
      </c>
      <c r="L292" s="149">
        <f t="shared" si="81"/>
        <v>29.900000000000002</v>
      </c>
      <c r="M292" s="150">
        <f t="shared" si="81"/>
        <v>0.96890000000000009</v>
      </c>
      <c r="N292" s="32">
        <f t="shared" si="81"/>
        <v>6.5819999999999999</v>
      </c>
      <c r="O292" s="149">
        <f t="shared" si="81"/>
        <v>117.1515</v>
      </c>
      <c r="P292" s="149">
        <f t="shared" si="81"/>
        <v>426.05349999999999</v>
      </c>
      <c r="Q292" s="150">
        <f t="shared" si="81"/>
        <v>5.0948799999999999</v>
      </c>
      <c r="R292" s="150">
        <f t="shared" si="81"/>
        <v>4.5620000000000008E-2</v>
      </c>
      <c r="S292" s="149">
        <f t="shared" si="81"/>
        <v>183.29999999999998</v>
      </c>
      <c r="T292" s="150">
        <f t="shared" si="81"/>
        <v>8.2900000000000009</v>
      </c>
      <c r="U292" s="29"/>
      <c r="V292" s="74"/>
      <c r="W292" s="74"/>
      <c r="X292" s="74"/>
    </row>
    <row r="293" spans="1:24" s="73" customFormat="1" ht="11.25" customHeight="1">
      <c r="A293" s="210" t="s">
        <v>57</v>
      </c>
      <c r="B293" s="211"/>
      <c r="C293" s="211"/>
      <c r="D293" s="212"/>
      <c r="E293" s="173"/>
      <c r="F293" s="171">
        <f t="shared" ref="F293:T293" si="82">F292/F300</f>
        <v>0.3160351851851852</v>
      </c>
      <c r="G293" s="153">
        <f t="shared" si="82"/>
        <v>0.15511413043478262</v>
      </c>
      <c r="H293" s="153">
        <f t="shared" si="82"/>
        <v>0.28594168842471718</v>
      </c>
      <c r="I293" s="153">
        <f t="shared" si="82"/>
        <v>0.25011390931372551</v>
      </c>
      <c r="J293" s="153">
        <f t="shared" si="82"/>
        <v>0.75250000000000017</v>
      </c>
      <c r="K293" s="153">
        <f t="shared" si="82"/>
        <v>0.14406250000000001</v>
      </c>
      <c r="L293" s="153">
        <f t="shared" si="82"/>
        <v>0.42714285714285716</v>
      </c>
      <c r="M293" s="153">
        <f t="shared" si="82"/>
        <v>1.0765555555555557</v>
      </c>
      <c r="N293" s="153">
        <f t="shared" si="82"/>
        <v>0.54849999999999999</v>
      </c>
      <c r="O293" s="153">
        <f t="shared" si="82"/>
        <v>9.7626249999999998E-2</v>
      </c>
      <c r="P293" s="153">
        <f t="shared" si="82"/>
        <v>0.35504458333333333</v>
      </c>
      <c r="Q293" s="153">
        <f t="shared" si="82"/>
        <v>0.36391999999999997</v>
      </c>
      <c r="R293" s="153">
        <f t="shared" si="82"/>
        <v>0.45620000000000005</v>
      </c>
      <c r="S293" s="153">
        <f t="shared" si="82"/>
        <v>0.61099999999999999</v>
      </c>
      <c r="T293" s="153">
        <f t="shared" si="82"/>
        <v>0.46055555555555561</v>
      </c>
      <c r="U293" s="76"/>
      <c r="V293" s="74"/>
      <c r="W293" s="74"/>
      <c r="X293" s="74"/>
    </row>
    <row r="294" spans="1:24" s="73" customFormat="1" ht="11.25" customHeight="1">
      <c r="A294" s="215" t="s">
        <v>28</v>
      </c>
      <c r="B294" s="216"/>
      <c r="C294" s="216"/>
      <c r="D294" s="216"/>
      <c r="E294" s="216"/>
      <c r="F294" s="216"/>
      <c r="G294" s="216"/>
      <c r="H294" s="216"/>
      <c r="I294" s="216"/>
      <c r="J294" s="216"/>
      <c r="K294" s="216"/>
      <c r="L294" s="216"/>
      <c r="M294" s="216"/>
      <c r="N294" s="216"/>
      <c r="O294" s="216"/>
      <c r="P294" s="216"/>
      <c r="Q294" s="216"/>
      <c r="R294" s="216"/>
      <c r="S294" s="216"/>
      <c r="T294" s="217"/>
      <c r="U294" s="9"/>
      <c r="V294" s="22"/>
      <c r="W294" s="22"/>
      <c r="X294" s="22"/>
    </row>
    <row r="295" spans="1:24" s="68" customFormat="1" ht="22.35" customHeight="1">
      <c r="A295" s="194"/>
      <c r="B295" s="231"/>
      <c r="C295" s="231"/>
      <c r="D295" s="196"/>
      <c r="E295" s="192"/>
      <c r="F295" s="192"/>
      <c r="G295" s="197"/>
      <c r="H295" s="197"/>
      <c r="I295" s="197"/>
      <c r="J295" s="192"/>
      <c r="K295" s="192"/>
      <c r="L295" s="192"/>
      <c r="M295" s="192"/>
      <c r="N295" s="196"/>
      <c r="O295" s="192"/>
      <c r="P295" s="192"/>
      <c r="Q295" s="197"/>
      <c r="R295" s="192"/>
      <c r="S295" s="197"/>
      <c r="T295" s="192"/>
      <c r="V295" s="221" t="s">
        <v>62</v>
      </c>
      <c r="W295" s="221" t="s">
        <v>63</v>
      </c>
      <c r="X295" s="221" t="s">
        <v>64</v>
      </c>
    </row>
    <row r="296" spans="1:24" s="68" customFormat="1" ht="11.25" customHeight="1">
      <c r="A296" s="87"/>
      <c r="B296" s="206"/>
      <c r="C296" s="206"/>
      <c r="D296" s="71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V296" s="221"/>
      <c r="W296" s="221"/>
      <c r="X296" s="221"/>
    </row>
    <row r="297" spans="1:24" s="1" customFormat="1" ht="11.25" customHeight="1">
      <c r="A297" s="156" t="s">
        <v>29</v>
      </c>
      <c r="B297" s="157"/>
      <c r="C297" s="157"/>
      <c r="D297" s="158">
        <f t="shared" ref="D297:T297" si="83">SUM(D295:D296)</f>
        <v>0</v>
      </c>
      <c r="E297" s="175">
        <f t="shared" si="83"/>
        <v>0</v>
      </c>
      <c r="F297" s="175">
        <f t="shared" si="83"/>
        <v>0</v>
      </c>
      <c r="G297" s="175">
        <f t="shared" si="83"/>
        <v>0</v>
      </c>
      <c r="H297" s="175">
        <f t="shared" si="83"/>
        <v>0</v>
      </c>
      <c r="I297" s="175">
        <f t="shared" si="83"/>
        <v>0</v>
      </c>
      <c r="J297" s="175">
        <f t="shared" si="83"/>
        <v>0</v>
      </c>
      <c r="K297" s="175">
        <f t="shared" si="83"/>
        <v>0</v>
      </c>
      <c r="L297" s="175">
        <f t="shared" si="83"/>
        <v>0</v>
      </c>
      <c r="M297" s="175">
        <f t="shared" si="83"/>
        <v>0</v>
      </c>
      <c r="N297" s="175">
        <f t="shared" si="83"/>
        <v>0</v>
      </c>
      <c r="O297" s="175">
        <f t="shared" si="83"/>
        <v>0</v>
      </c>
      <c r="P297" s="175">
        <f t="shared" si="83"/>
        <v>0</v>
      </c>
      <c r="Q297" s="175">
        <f t="shared" si="83"/>
        <v>0</v>
      </c>
      <c r="R297" s="175">
        <f t="shared" si="83"/>
        <v>0</v>
      </c>
      <c r="S297" s="175">
        <f t="shared" si="83"/>
        <v>0</v>
      </c>
      <c r="T297" s="175">
        <f t="shared" si="83"/>
        <v>0</v>
      </c>
      <c r="U297" s="29"/>
      <c r="V297" s="221"/>
      <c r="W297" s="221"/>
      <c r="X297" s="221"/>
    </row>
    <row r="298" spans="1:24" s="1" customFormat="1" ht="11.25" customHeight="1">
      <c r="A298" s="210" t="s">
        <v>57</v>
      </c>
      <c r="B298" s="211"/>
      <c r="C298" s="211"/>
      <c r="D298" s="212"/>
      <c r="E298" s="121"/>
      <c r="F298" s="51">
        <f>F297/F300</f>
        <v>0</v>
      </c>
      <c r="G298" s="153">
        <f t="shared" ref="G298:T298" si="84">G297/G300</f>
        <v>0</v>
      </c>
      <c r="H298" s="153">
        <f t="shared" si="84"/>
        <v>0</v>
      </c>
      <c r="I298" s="153">
        <f t="shared" si="84"/>
        <v>0</v>
      </c>
      <c r="J298" s="153">
        <f t="shared" si="84"/>
        <v>0</v>
      </c>
      <c r="K298" s="153">
        <f t="shared" si="84"/>
        <v>0</v>
      </c>
      <c r="L298" s="153">
        <f t="shared" si="84"/>
        <v>0</v>
      </c>
      <c r="M298" s="153">
        <f t="shared" si="84"/>
        <v>0</v>
      </c>
      <c r="N298" s="153">
        <f t="shared" si="84"/>
        <v>0</v>
      </c>
      <c r="O298" s="153">
        <f t="shared" si="84"/>
        <v>0</v>
      </c>
      <c r="P298" s="153">
        <f t="shared" si="84"/>
        <v>0</v>
      </c>
      <c r="Q298" s="153">
        <f t="shared" si="84"/>
        <v>0</v>
      </c>
      <c r="R298" s="153">
        <f t="shared" si="84"/>
        <v>0</v>
      </c>
      <c r="S298" s="153">
        <f t="shared" si="84"/>
        <v>0</v>
      </c>
      <c r="T298" s="153">
        <f t="shared" si="84"/>
        <v>0</v>
      </c>
      <c r="U298" s="76"/>
      <c r="V298" s="79"/>
      <c r="W298" s="79"/>
      <c r="X298" s="79"/>
    </row>
    <row r="299" spans="1:24" s="1" customFormat="1" ht="11.25" customHeight="1">
      <c r="A299" s="156" t="s">
        <v>56</v>
      </c>
      <c r="B299" s="157"/>
      <c r="C299" s="157"/>
      <c r="D299" s="61">
        <f>D292+D282</f>
        <v>1475</v>
      </c>
      <c r="E299" s="177">
        <f>E292+E282</f>
        <v>167</v>
      </c>
      <c r="F299" s="150">
        <f t="shared" ref="F299:T299" si="85">SUM(F282,F292,F297)</f>
        <v>45.548166666666667</v>
      </c>
      <c r="G299" s="149">
        <f t="shared" si="85"/>
        <v>39.015499999999996</v>
      </c>
      <c r="H299" s="149">
        <f t="shared" si="85"/>
        <v>212.27566666666669</v>
      </c>
      <c r="I299" s="149">
        <f t="shared" si="85"/>
        <v>1382.4748333333332</v>
      </c>
      <c r="J299" s="150">
        <f t="shared" si="85"/>
        <v>1.2985000000000002</v>
      </c>
      <c r="K299" s="150">
        <f t="shared" si="85"/>
        <v>0.57050000000000001</v>
      </c>
      <c r="L299" s="149">
        <f t="shared" si="85"/>
        <v>47.602500000000006</v>
      </c>
      <c r="M299" s="150">
        <f t="shared" si="85"/>
        <v>1.0926500000000001</v>
      </c>
      <c r="N299" s="150">
        <f t="shared" si="85"/>
        <v>9.2919999999999998</v>
      </c>
      <c r="O299" s="149">
        <f t="shared" si="85"/>
        <v>549.70150000000001</v>
      </c>
      <c r="P299" s="149">
        <f t="shared" si="85"/>
        <v>833.08349999999996</v>
      </c>
      <c r="Q299" s="150">
        <f t="shared" si="85"/>
        <v>6.1498799999999996</v>
      </c>
      <c r="R299" s="151">
        <f t="shared" si="85"/>
        <v>9.8620000000000013E-2</v>
      </c>
      <c r="S299" s="150">
        <f t="shared" si="85"/>
        <v>278.53999999999996</v>
      </c>
      <c r="T299" s="150">
        <f t="shared" si="85"/>
        <v>13.530000000000001</v>
      </c>
      <c r="U299" s="31"/>
      <c r="V299" s="51">
        <f>AVERAGE(I283,I315,I348,I387,I423)</f>
        <v>0.22920312500000001</v>
      </c>
      <c r="W299" s="51">
        <f>AVERAGE(I293,I324,I360,I398,I435)</f>
        <v>430.64405695465689</v>
      </c>
      <c r="X299" s="51">
        <f>AVERAGE(I298,I330,I367,I404,I441)</f>
        <v>0</v>
      </c>
    </row>
    <row r="300" spans="1:24" s="1" customFormat="1" ht="11.25" customHeight="1">
      <c r="A300" s="207" t="s">
        <v>58</v>
      </c>
      <c r="B300" s="208"/>
      <c r="C300" s="208"/>
      <c r="D300" s="209"/>
      <c r="E300" s="127"/>
      <c r="F300" s="163">
        <v>90</v>
      </c>
      <c r="G300" s="161">
        <v>92</v>
      </c>
      <c r="H300" s="161">
        <v>383</v>
      </c>
      <c r="I300" s="161">
        <v>2720</v>
      </c>
      <c r="J300" s="163">
        <v>1.4</v>
      </c>
      <c r="K300" s="163">
        <v>1.6</v>
      </c>
      <c r="L300" s="162">
        <v>70</v>
      </c>
      <c r="M300" s="163">
        <v>0.9</v>
      </c>
      <c r="N300" s="162">
        <v>12</v>
      </c>
      <c r="O300" s="162">
        <v>1200</v>
      </c>
      <c r="P300" s="162">
        <v>1200</v>
      </c>
      <c r="Q300" s="162">
        <v>14</v>
      </c>
      <c r="R300" s="161">
        <v>0.1</v>
      </c>
      <c r="S300" s="162">
        <v>300</v>
      </c>
      <c r="T300" s="163">
        <v>18</v>
      </c>
      <c r="U300" s="77"/>
      <c r="V300" s="78"/>
      <c r="W300" s="78"/>
      <c r="X300" s="78"/>
    </row>
    <row r="301" spans="1:24" s="1" customFormat="1" ht="11.25" customHeight="1">
      <c r="A301" s="210" t="s">
        <v>57</v>
      </c>
      <c r="B301" s="211"/>
      <c r="C301" s="211"/>
      <c r="D301" s="212"/>
      <c r="E301" s="121"/>
      <c r="F301" s="51">
        <f t="shared" ref="F301:T301" si="86">F299/F300</f>
        <v>0.50609074074074079</v>
      </c>
      <c r="G301" s="153">
        <f t="shared" si="86"/>
        <v>0.42408152173913038</v>
      </c>
      <c r="H301" s="153">
        <f t="shared" si="86"/>
        <v>0.55424456048738036</v>
      </c>
      <c r="I301" s="153">
        <f t="shared" si="86"/>
        <v>0.50826280637254895</v>
      </c>
      <c r="J301" s="153">
        <f t="shared" si="86"/>
        <v>0.92750000000000021</v>
      </c>
      <c r="K301" s="153">
        <f t="shared" si="86"/>
        <v>0.3565625</v>
      </c>
      <c r="L301" s="153">
        <f t="shared" si="86"/>
        <v>0.68003571428571441</v>
      </c>
      <c r="M301" s="33">
        <f>M299/M300</f>
        <v>1.2140555555555557</v>
      </c>
      <c r="N301" s="153">
        <f t="shared" si="86"/>
        <v>0.77433333333333332</v>
      </c>
      <c r="O301" s="153">
        <f t="shared" si="86"/>
        <v>0.45808458333333335</v>
      </c>
      <c r="P301" s="153">
        <f t="shared" si="86"/>
        <v>0.69423625</v>
      </c>
      <c r="Q301" s="153">
        <f t="shared" si="86"/>
        <v>0.43927714285714281</v>
      </c>
      <c r="R301" s="33">
        <f t="shared" si="86"/>
        <v>0.98620000000000008</v>
      </c>
      <c r="S301" s="153">
        <f t="shared" si="86"/>
        <v>0.92846666666666655</v>
      </c>
      <c r="T301" s="33">
        <f t="shared" si="86"/>
        <v>0.75166666666666671</v>
      </c>
      <c r="U301" s="34"/>
      <c r="V301" s="35"/>
      <c r="W301" s="35"/>
      <c r="X301" s="35"/>
    </row>
    <row r="302" spans="1:24" s="1" customFormat="1" ht="11.25" customHeight="1">
      <c r="A302" s="235" t="s">
        <v>42</v>
      </c>
      <c r="B302" s="235"/>
      <c r="C302" s="235"/>
      <c r="D302" s="235"/>
      <c r="E302" s="235"/>
      <c r="F302" s="235"/>
      <c r="G302" s="235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235"/>
      <c r="T302" s="235"/>
      <c r="U302" s="11"/>
      <c r="V302" s="23"/>
      <c r="W302" s="23"/>
      <c r="X302" s="23"/>
    </row>
    <row r="303" spans="1:24" s="1" customFormat="1" ht="11.25" customHeight="1">
      <c r="A303" s="43" t="s">
        <v>50</v>
      </c>
      <c r="B303" s="41"/>
      <c r="C303" s="41"/>
      <c r="D303" s="2"/>
      <c r="E303" s="2"/>
      <c r="F303" s="140"/>
      <c r="G303" s="238" t="s">
        <v>37</v>
      </c>
      <c r="H303" s="238"/>
      <c r="I303" s="238"/>
      <c r="J303" s="144"/>
      <c r="K303" s="144"/>
      <c r="L303" s="219" t="s">
        <v>1</v>
      </c>
      <c r="M303" s="219"/>
      <c r="N303" s="248"/>
      <c r="O303" s="248"/>
      <c r="P303" s="248"/>
      <c r="Q303" s="248"/>
      <c r="R303" s="144"/>
      <c r="S303" s="144"/>
      <c r="T303" s="144"/>
      <c r="U303" s="12"/>
      <c r="V303" s="18"/>
      <c r="W303" s="18"/>
      <c r="X303" s="18"/>
    </row>
    <row r="304" spans="1:24" s="1" customFormat="1" ht="11.25" customHeight="1">
      <c r="A304" s="41"/>
      <c r="B304" s="41"/>
      <c r="C304" s="41"/>
      <c r="D304" s="219" t="s">
        <v>2</v>
      </c>
      <c r="E304" s="219"/>
      <c r="F304" s="219"/>
      <c r="G304" s="5">
        <v>2</v>
      </c>
      <c r="H304" s="144"/>
      <c r="I304" s="2"/>
      <c r="J304" s="2"/>
      <c r="K304" s="2"/>
      <c r="L304" s="219" t="s">
        <v>3</v>
      </c>
      <c r="M304" s="219"/>
      <c r="N304" s="238" t="str">
        <f>N272</f>
        <v>7-11 лет;12 и старше</v>
      </c>
      <c r="O304" s="238"/>
      <c r="P304" s="238"/>
      <c r="Q304" s="238"/>
      <c r="R304" s="238"/>
      <c r="S304" s="238"/>
      <c r="T304" s="238"/>
      <c r="U304" s="13"/>
      <c r="V304" s="19"/>
      <c r="W304" s="19"/>
      <c r="X304" s="19"/>
    </row>
    <row r="305" spans="1:25" s="1" customFormat="1" ht="21.75" customHeight="1">
      <c r="A305" s="246" t="s">
        <v>4</v>
      </c>
      <c r="B305" s="246" t="s">
        <v>5</v>
      </c>
      <c r="C305" s="246"/>
      <c r="D305" s="246" t="s">
        <v>6</v>
      </c>
      <c r="E305" s="124"/>
      <c r="F305" s="228" t="s">
        <v>7</v>
      </c>
      <c r="G305" s="229"/>
      <c r="H305" s="230"/>
      <c r="I305" s="246" t="s">
        <v>8</v>
      </c>
      <c r="J305" s="254" t="s">
        <v>9</v>
      </c>
      <c r="K305" s="254"/>
      <c r="L305" s="254"/>
      <c r="M305" s="254"/>
      <c r="N305" s="254"/>
      <c r="O305" s="254" t="s">
        <v>10</v>
      </c>
      <c r="P305" s="254"/>
      <c r="Q305" s="254"/>
      <c r="R305" s="254"/>
      <c r="S305" s="254"/>
      <c r="T305" s="254"/>
      <c r="U305" s="7"/>
      <c r="V305" s="20"/>
      <c r="W305" s="20"/>
      <c r="X305" s="20"/>
    </row>
    <row r="306" spans="1:25" s="1" customFormat="1" ht="21" customHeight="1">
      <c r="A306" s="247"/>
      <c r="B306" s="241"/>
      <c r="C306" s="242"/>
      <c r="D306" s="247"/>
      <c r="E306" s="123"/>
      <c r="F306" s="57" t="s">
        <v>11</v>
      </c>
      <c r="G306" s="129" t="s">
        <v>12</v>
      </c>
      <c r="H306" s="129" t="s">
        <v>13</v>
      </c>
      <c r="I306" s="247"/>
      <c r="J306" s="129" t="s">
        <v>14</v>
      </c>
      <c r="K306" s="129" t="s">
        <v>52</v>
      </c>
      <c r="L306" s="129" t="s">
        <v>15</v>
      </c>
      <c r="M306" s="129" t="s">
        <v>16</v>
      </c>
      <c r="N306" s="129" t="s">
        <v>17</v>
      </c>
      <c r="O306" s="129" t="s">
        <v>18</v>
      </c>
      <c r="P306" s="129" t="s">
        <v>19</v>
      </c>
      <c r="Q306" s="129" t="s">
        <v>53</v>
      </c>
      <c r="R306" s="129" t="s">
        <v>54</v>
      </c>
      <c r="S306" s="129" t="s">
        <v>20</v>
      </c>
      <c r="T306" s="129" t="s">
        <v>21</v>
      </c>
      <c r="U306" s="7"/>
      <c r="V306" s="20"/>
      <c r="W306" s="20"/>
      <c r="X306" s="20"/>
    </row>
    <row r="307" spans="1:25" s="1" customFormat="1" ht="11.25" customHeight="1">
      <c r="A307" s="172">
        <v>1</v>
      </c>
      <c r="B307" s="255">
        <v>2</v>
      </c>
      <c r="C307" s="255"/>
      <c r="D307" s="28">
        <v>3</v>
      </c>
      <c r="E307" s="28"/>
      <c r="F307" s="28">
        <v>4</v>
      </c>
      <c r="G307" s="28">
        <v>5</v>
      </c>
      <c r="H307" s="28">
        <v>6</v>
      </c>
      <c r="I307" s="28">
        <v>7</v>
      </c>
      <c r="J307" s="28">
        <v>8</v>
      </c>
      <c r="K307" s="28">
        <v>9</v>
      </c>
      <c r="L307" s="28">
        <v>10</v>
      </c>
      <c r="M307" s="28">
        <v>11</v>
      </c>
      <c r="N307" s="28">
        <v>12</v>
      </c>
      <c r="O307" s="28">
        <v>13</v>
      </c>
      <c r="P307" s="28">
        <v>14</v>
      </c>
      <c r="Q307" s="28">
        <v>15</v>
      </c>
      <c r="R307" s="28">
        <v>16</v>
      </c>
      <c r="S307" s="28">
        <v>17</v>
      </c>
      <c r="T307" s="28">
        <v>18</v>
      </c>
      <c r="U307" s="8"/>
      <c r="V307" s="21"/>
      <c r="W307" s="21"/>
      <c r="X307" s="21"/>
    </row>
    <row r="308" spans="1:25" s="1" customFormat="1" ht="11.25" customHeight="1">
      <c r="A308" s="215" t="s">
        <v>24</v>
      </c>
      <c r="B308" s="216"/>
      <c r="C308" s="216"/>
      <c r="D308" s="216"/>
      <c r="E308" s="216"/>
      <c r="F308" s="216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7"/>
      <c r="U308" s="9"/>
      <c r="V308" s="22"/>
      <c r="W308" s="22"/>
      <c r="X308" s="22"/>
    </row>
    <row r="309" spans="1:25" s="144" customFormat="1" ht="20.25" customHeight="1">
      <c r="A309" s="159">
        <v>71</v>
      </c>
      <c r="B309" s="201" t="s">
        <v>102</v>
      </c>
      <c r="C309" s="202"/>
      <c r="D309" s="168">
        <v>40</v>
      </c>
      <c r="E309" s="168">
        <v>9.9700000000000006</v>
      </c>
      <c r="F309" s="176">
        <v>1.73</v>
      </c>
      <c r="G309" s="176">
        <v>3.71</v>
      </c>
      <c r="H309" s="176">
        <v>4.82</v>
      </c>
      <c r="I309" s="176">
        <v>59.58</v>
      </c>
      <c r="J309" s="169">
        <v>8.9999999999999993E-3</v>
      </c>
      <c r="K309" s="176">
        <v>0.01</v>
      </c>
      <c r="L309" s="170">
        <v>3</v>
      </c>
      <c r="M309" s="169">
        <v>3.0000000000000001E-3</v>
      </c>
      <c r="N309" s="168">
        <v>0.03</v>
      </c>
      <c r="O309" s="176">
        <v>6.9</v>
      </c>
      <c r="P309" s="176">
        <v>12.6</v>
      </c>
      <c r="Q309" s="169">
        <v>6.4000000000000001E-2</v>
      </c>
      <c r="R309" s="169">
        <v>1E-3</v>
      </c>
      <c r="S309" s="176">
        <v>4.2</v>
      </c>
      <c r="T309" s="176">
        <v>0.18</v>
      </c>
      <c r="U309" s="147"/>
      <c r="V309" s="148"/>
      <c r="W309" s="148"/>
      <c r="X309" s="148"/>
    </row>
    <row r="310" spans="1:25" s="180" customFormat="1" ht="22.5" customHeight="1">
      <c r="A310" s="69">
        <v>591</v>
      </c>
      <c r="B310" s="224" t="s">
        <v>101</v>
      </c>
      <c r="C310" s="225"/>
      <c r="D310" s="70">
        <v>100</v>
      </c>
      <c r="E310" s="67">
        <v>47.99</v>
      </c>
      <c r="F310" s="67">
        <v>5.86</v>
      </c>
      <c r="G310" s="67">
        <v>16.309999999999999</v>
      </c>
      <c r="H310" s="67">
        <v>3.07</v>
      </c>
      <c r="I310" s="67">
        <v>182.51</v>
      </c>
      <c r="J310" s="67">
        <v>0.14000000000000001</v>
      </c>
      <c r="K310" s="67">
        <v>0.05</v>
      </c>
      <c r="L310" s="67">
        <v>0.09</v>
      </c>
      <c r="M310" s="67">
        <v>0</v>
      </c>
      <c r="N310" s="67">
        <v>0</v>
      </c>
      <c r="O310" s="67">
        <v>9.5399999999999991</v>
      </c>
      <c r="P310" s="67">
        <v>63.38</v>
      </c>
      <c r="Q310" s="67">
        <v>1.1200000000000001</v>
      </c>
      <c r="R310" s="67">
        <v>2.5499999999999998</v>
      </c>
      <c r="S310" s="67">
        <v>11.3</v>
      </c>
      <c r="T310" s="67">
        <v>0.75</v>
      </c>
      <c r="U310" s="178"/>
      <c r="V310" s="179"/>
      <c r="W310" s="179"/>
      <c r="X310" s="179"/>
    </row>
    <row r="311" spans="1:25" s="144" customFormat="1" ht="12" customHeight="1">
      <c r="A311" s="172">
        <v>171</v>
      </c>
      <c r="B311" s="201" t="s">
        <v>112</v>
      </c>
      <c r="C311" s="202"/>
      <c r="D311" s="162">
        <v>150</v>
      </c>
      <c r="E311" s="163">
        <v>8.7100000000000009</v>
      </c>
      <c r="F311" s="163">
        <v>6.57</v>
      </c>
      <c r="G311" s="163">
        <v>4.1900000000000004</v>
      </c>
      <c r="H311" s="163">
        <v>32.32</v>
      </c>
      <c r="I311" s="163">
        <v>193.27</v>
      </c>
      <c r="J311" s="163">
        <v>0.06</v>
      </c>
      <c r="K311" s="163">
        <v>0.03</v>
      </c>
      <c r="L311" s="163">
        <v>0</v>
      </c>
      <c r="M311" s="164">
        <v>0.03</v>
      </c>
      <c r="N311" s="163">
        <v>2.5499999999999998</v>
      </c>
      <c r="O311" s="163">
        <v>18.12</v>
      </c>
      <c r="P311" s="163">
        <v>157.03</v>
      </c>
      <c r="Q311" s="163">
        <v>0.89</v>
      </c>
      <c r="R311" s="164">
        <v>1E-3</v>
      </c>
      <c r="S311" s="163">
        <v>104.45</v>
      </c>
      <c r="T311" s="163">
        <v>3.55</v>
      </c>
      <c r="U311" s="165"/>
      <c r="V311" s="166"/>
      <c r="W311" s="166"/>
      <c r="X311" s="166"/>
    </row>
    <row r="312" spans="1:25" s="144" customFormat="1" ht="11.25" customHeight="1">
      <c r="A312" s="167" t="s">
        <v>60</v>
      </c>
      <c r="B312" s="201" t="s">
        <v>49</v>
      </c>
      <c r="C312" s="202"/>
      <c r="D312" s="162">
        <v>30</v>
      </c>
      <c r="E312" s="163">
        <v>2.52</v>
      </c>
      <c r="F312" s="163">
        <f>1.52*D312/30</f>
        <v>1.52</v>
      </c>
      <c r="G312" s="164">
        <f>0.16*D312/30</f>
        <v>0.16</v>
      </c>
      <c r="H312" s="164">
        <f>9.84*D312/30</f>
        <v>9.84</v>
      </c>
      <c r="I312" s="164">
        <f>F312*4+G312*9+H312*4</f>
        <v>46.879999999999995</v>
      </c>
      <c r="J312" s="164">
        <f>0.02*D312/30</f>
        <v>0.02</v>
      </c>
      <c r="K312" s="164">
        <f>0.01*D312/30</f>
        <v>0.01</v>
      </c>
      <c r="L312" s="164">
        <f>0.44*D312/30</f>
        <v>0.44</v>
      </c>
      <c r="M312" s="164">
        <v>0</v>
      </c>
      <c r="N312" s="164">
        <f>0.7*D312/30</f>
        <v>0.7</v>
      </c>
      <c r="O312" s="164">
        <f>4*D312/30</f>
        <v>4</v>
      </c>
      <c r="P312" s="164">
        <f>13*D312/30</f>
        <v>13</v>
      </c>
      <c r="Q312" s="164">
        <f>0.008*D312/30</f>
        <v>8.0000000000000002E-3</v>
      </c>
      <c r="R312" s="164">
        <f>0.001*D312/30</f>
        <v>1E-3</v>
      </c>
      <c r="S312" s="164">
        <v>0</v>
      </c>
      <c r="T312" s="164">
        <f>0.22*D312/30</f>
        <v>0.22</v>
      </c>
      <c r="U312" s="165"/>
      <c r="V312" s="166"/>
      <c r="W312" s="166"/>
      <c r="X312" s="166"/>
    </row>
    <row r="313" spans="1:25" s="144" customFormat="1" ht="12.75" customHeight="1">
      <c r="A313" s="172">
        <v>377</v>
      </c>
      <c r="B313" s="203" t="s">
        <v>43</v>
      </c>
      <c r="C313" s="203"/>
      <c r="D313" s="162">
        <v>200</v>
      </c>
      <c r="E313" s="163">
        <v>3.81</v>
      </c>
      <c r="F313" s="163">
        <v>0.26</v>
      </c>
      <c r="G313" s="163">
        <v>0.06</v>
      </c>
      <c r="H313" s="163">
        <v>15.22</v>
      </c>
      <c r="I313" s="163">
        <f>F313*4+G313*9+H313*4</f>
        <v>62.46</v>
      </c>
      <c r="J313" s="163"/>
      <c r="K313" s="163">
        <v>0.01</v>
      </c>
      <c r="L313" s="163">
        <v>2.9</v>
      </c>
      <c r="M313" s="160">
        <v>0</v>
      </c>
      <c r="N313" s="163">
        <v>0.06</v>
      </c>
      <c r="O313" s="163">
        <v>8.0500000000000007</v>
      </c>
      <c r="P313" s="163">
        <v>9.7799999999999994</v>
      </c>
      <c r="Q313" s="163">
        <v>1.7000000000000001E-2</v>
      </c>
      <c r="R313" s="164">
        <v>0</v>
      </c>
      <c r="S313" s="163">
        <v>5.24</v>
      </c>
      <c r="T313" s="163">
        <v>0.87</v>
      </c>
      <c r="U313" s="165"/>
      <c r="V313" s="166"/>
      <c r="W313" s="166"/>
      <c r="X313" s="166"/>
    </row>
    <row r="314" spans="1:25" s="144" customFormat="1" ht="11.25" customHeight="1">
      <c r="A314" s="156" t="s">
        <v>25</v>
      </c>
      <c r="B314" s="157"/>
      <c r="C314" s="157"/>
      <c r="D314" s="158">
        <f t="shared" ref="D314:T314" si="87">SUM(D309:D313)</f>
        <v>520</v>
      </c>
      <c r="E314" s="175">
        <f t="shared" si="87"/>
        <v>73</v>
      </c>
      <c r="F314" s="150">
        <f t="shared" si="87"/>
        <v>15.94</v>
      </c>
      <c r="G314" s="155">
        <f t="shared" si="87"/>
        <v>24.43</v>
      </c>
      <c r="H314" s="155">
        <f t="shared" si="87"/>
        <v>65.27</v>
      </c>
      <c r="I314" s="149">
        <f t="shared" si="87"/>
        <v>544.70000000000005</v>
      </c>
      <c r="J314" s="150">
        <f t="shared" si="87"/>
        <v>0.22900000000000001</v>
      </c>
      <c r="K314" s="150">
        <f t="shared" si="87"/>
        <v>0.10999999999999999</v>
      </c>
      <c r="L314" s="150">
        <f t="shared" si="87"/>
        <v>6.43</v>
      </c>
      <c r="M314" s="150">
        <f t="shared" si="87"/>
        <v>3.3000000000000002E-2</v>
      </c>
      <c r="N314" s="149">
        <f t="shared" si="87"/>
        <v>3.3399999999999994</v>
      </c>
      <c r="O314" s="149">
        <f t="shared" si="87"/>
        <v>46.61</v>
      </c>
      <c r="P314" s="149">
        <f t="shared" si="87"/>
        <v>255.79</v>
      </c>
      <c r="Q314" s="149">
        <f t="shared" si="87"/>
        <v>2.0990000000000002</v>
      </c>
      <c r="R314" s="150">
        <f t="shared" si="87"/>
        <v>2.5529999999999995</v>
      </c>
      <c r="S314" s="149">
        <f t="shared" si="87"/>
        <v>125.19</v>
      </c>
      <c r="T314" s="150">
        <f t="shared" si="87"/>
        <v>5.5699999999999994</v>
      </c>
      <c r="U314" s="149"/>
      <c r="V314" s="152"/>
      <c r="W314" s="152"/>
      <c r="X314" s="152"/>
    </row>
    <row r="315" spans="1:25" s="3" customFormat="1" ht="11.25" customHeight="1">
      <c r="A315" s="210" t="s">
        <v>57</v>
      </c>
      <c r="B315" s="211"/>
      <c r="C315" s="211"/>
      <c r="D315" s="212"/>
      <c r="E315" s="173"/>
      <c r="F315" s="171">
        <f t="shared" ref="F315:T315" si="88">F314/F332</f>
        <v>0.17711111111111111</v>
      </c>
      <c r="G315" s="153">
        <f t="shared" si="88"/>
        <v>0.26554347826086955</v>
      </c>
      <c r="H315" s="153">
        <f t="shared" si="88"/>
        <v>0.17041775456919059</v>
      </c>
      <c r="I315" s="153">
        <f t="shared" si="88"/>
        <v>0.2002573529411765</v>
      </c>
      <c r="J315" s="153">
        <f t="shared" si="88"/>
        <v>0.16357142857142859</v>
      </c>
      <c r="K315" s="153">
        <f t="shared" si="88"/>
        <v>6.8749999999999992E-2</v>
      </c>
      <c r="L315" s="153">
        <f t="shared" si="88"/>
        <v>9.1857142857142859E-2</v>
      </c>
      <c r="M315" s="153">
        <f t="shared" si="88"/>
        <v>3.6666666666666667E-2</v>
      </c>
      <c r="N315" s="153">
        <f t="shared" si="88"/>
        <v>0.27833333333333327</v>
      </c>
      <c r="O315" s="153">
        <f t="shared" si="88"/>
        <v>3.8841666666666663E-2</v>
      </c>
      <c r="P315" s="153">
        <f t="shared" si="88"/>
        <v>0.21315833333333334</v>
      </c>
      <c r="Q315" s="153">
        <f t="shared" si="88"/>
        <v>0.14992857142857144</v>
      </c>
      <c r="R315" s="153">
        <f t="shared" si="88"/>
        <v>25.529999999999994</v>
      </c>
      <c r="S315" s="153">
        <f t="shared" si="88"/>
        <v>0.4173</v>
      </c>
      <c r="T315" s="153">
        <f t="shared" si="88"/>
        <v>0.30944444444444441</v>
      </c>
      <c r="U315" s="36"/>
      <c r="V315" s="30"/>
      <c r="W315" s="30"/>
      <c r="X315" s="30"/>
    </row>
    <row r="316" spans="1:25" s="3" customFormat="1" ht="11.25" customHeight="1">
      <c r="A316" s="215" t="s">
        <v>26</v>
      </c>
      <c r="B316" s="216"/>
      <c r="C316" s="216"/>
      <c r="D316" s="216"/>
      <c r="E316" s="216"/>
      <c r="F316" s="216"/>
      <c r="G316" s="216"/>
      <c r="H316" s="216"/>
      <c r="I316" s="216"/>
      <c r="J316" s="216"/>
      <c r="K316" s="216"/>
      <c r="L316" s="216"/>
      <c r="M316" s="216"/>
      <c r="N316" s="216"/>
      <c r="O316" s="216"/>
      <c r="P316" s="216"/>
      <c r="Q316" s="216"/>
      <c r="R316" s="216"/>
      <c r="S316" s="216"/>
      <c r="T316" s="217"/>
      <c r="U316" s="9"/>
      <c r="V316" s="22"/>
      <c r="W316" s="22"/>
      <c r="X316" s="22"/>
    </row>
    <row r="317" spans="1:25" s="116" customFormat="1" ht="20.25" customHeight="1">
      <c r="A317" s="159">
        <v>71</v>
      </c>
      <c r="B317" s="201" t="s">
        <v>100</v>
      </c>
      <c r="C317" s="202"/>
      <c r="D317" s="168">
        <v>60</v>
      </c>
      <c r="E317" s="168">
        <v>15.72</v>
      </c>
      <c r="F317" s="176">
        <f>0.5*D317/60</f>
        <v>0.5</v>
      </c>
      <c r="G317" s="176">
        <f>0.03*D317/30</f>
        <v>5.9999999999999991E-2</v>
      </c>
      <c r="H317" s="176">
        <f>1.7*D317/60</f>
        <v>1.7</v>
      </c>
      <c r="I317" s="176">
        <f>F317*4+G317*9+H317*4</f>
        <v>9.34</v>
      </c>
      <c r="J317" s="169">
        <v>8.9999999999999993E-3</v>
      </c>
      <c r="K317" s="176">
        <v>0.01</v>
      </c>
      <c r="L317" s="170">
        <v>3</v>
      </c>
      <c r="M317" s="169">
        <v>3.0000000000000001E-3</v>
      </c>
      <c r="N317" s="168">
        <v>0.03</v>
      </c>
      <c r="O317" s="176">
        <v>6.9</v>
      </c>
      <c r="P317" s="176">
        <v>12.6</v>
      </c>
      <c r="Q317" s="169">
        <v>6.4000000000000001E-2</v>
      </c>
      <c r="R317" s="169">
        <v>1E-3</v>
      </c>
      <c r="S317" s="176">
        <v>4.2</v>
      </c>
      <c r="T317" s="176">
        <v>0.18</v>
      </c>
      <c r="U317" s="117"/>
      <c r="V317" s="118"/>
      <c r="W317" s="118"/>
      <c r="X317" s="118"/>
    </row>
    <row r="318" spans="1:25" s="73" customFormat="1" ht="22.5" customHeight="1">
      <c r="A318" s="69">
        <v>103</v>
      </c>
      <c r="B318" s="206" t="s">
        <v>77</v>
      </c>
      <c r="C318" s="206"/>
      <c r="D318" s="70">
        <v>250</v>
      </c>
      <c r="E318" s="67">
        <v>9.9499999999999993</v>
      </c>
      <c r="F318" s="67">
        <v>12.37</v>
      </c>
      <c r="G318" s="67">
        <v>11.12</v>
      </c>
      <c r="H318" s="67">
        <v>31.5</v>
      </c>
      <c r="I318" s="67">
        <v>275.62</v>
      </c>
      <c r="J318" s="67">
        <v>0.25</v>
      </c>
      <c r="K318" s="67">
        <v>6.3E-2</v>
      </c>
      <c r="L318" s="67">
        <v>8.25</v>
      </c>
      <c r="M318" s="67">
        <v>0</v>
      </c>
      <c r="N318" s="67">
        <v>0</v>
      </c>
      <c r="O318" s="67">
        <v>49.37</v>
      </c>
      <c r="P318" s="67">
        <v>93.37</v>
      </c>
      <c r="Q318" s="67">
        <v>0</v>
      </c>
      <c r="R318" s="67">
        <v>1E-3</v>
      </c>
      <c r="S318" s="67">
        <v>27.25</v>
      </c>
      <c r="T318" s="67">
        <v>0.37</v>
      </c>
      <c r="U318" s="119"/>
      <c r="V318" s="120"/>
      <c r="W318" s="120"/>
      <c r="X318" s="120"/>
      <c r="Y318" s="115"/>
    </row>
    <row r="319" spans="1:25" s="180" customFormat="1" ht="22.5" customHeight="1">
      <c r="A319" s="167">
        <v>232</v>
      </c>
      <c r="B319" s="201" t="s">
        <v>95</v>
      </c>
      <c r="C319" s="202"/>
      <c r="D319" s="162">
        <v>100</v>
      </c>
      <c r="E319" s="163">
        <v>34.82</v>
      </c>
      <c r="F319" s="163">
        <v>20.2</v>
      </c>
      <c r="G319" s="163">
        <v>12.07</v>
      </c>
      <c r="H319" s="163">
        <v>2.08</v>
      </c>
      <c r="I319" s="163">
        <v>197.75</v>
      </c>
      <c r="J319" s="163">
        <v>0.2</v>
      </c>
      <c r="K319" s="163">
        <v>0.17</v>
      </c>
      <c r="L319" s="163">
        <v>2.63</v>
      </c>
      <c r="M319" s="164">
        <v>3.125E-2</v>
      </c>
      <c r="N319" s="163">
        <v>0.3</v>
      </c>
      <c r="O319" s="163">
        <v>86.112499999999997</v>
      </c>
      <c r="P319" s="163">
        <v>41.762499999999996</v>
      </c>
      <c r="Q319" s="161">
        <v>0.8</v>
      </c>
      <c r="R319" s="161">
        <v>0.04</v>
      </c>
      <c r="S319" s="163">
        <v>28.962499999999999</v>
      </c>
      <c r="T319" s="163">
        <v>0.91249999999999998</v>
      </c>
      <c r="U319" s="178"/>
      <c r="V319" s="179"/>
      <c r="W319" s="179"/>
      <c r="X319" s="179"/>
    </row>
    <row r="320" spans="1:25" s="180" customFormat="1" ht="19.5" customHeight="1">
      <c r="A320" s="167">
        <v>312</v>
      </c>
      <c r="B320" s="201" t="s">
        <v>45</v>
      </c>
      <c r="C320" s="202"/>
      <c r="D320" s="162">
        <v>180</v>
      </c>
      <c r="E320" s="163">
        <v>19.71</v>
      </c>
      <c r="F320" s="163">
        <v>3.9480000000000004</v>
      </c>
      <c r="G320" s="163">
        <v>8.4719999999999995</v>
      </c>
      <c r="H320" s="163">
        <v>26.652000000000001</v>
      </c>
      <c r="I320" s="163">
        <v>198.648</v>
      </c>
      <c r="J320" s="163">
        <v>0.192</v>
      </c>
      <c r="K320" s="163">
        <v>0.15600000000000003</v>
      </c>
      <c r="L320" s="163">
        <v>0.876</v>
      </c>
      <c r="M320" s="164">
        <v>9.6000000000000002E-2</v>
      </c>
      <c r="N320" s="160">
        <v>1.8</v>
      </c>
      <c r="O320" s="163">
        <v>51.048000000000002</v>
      </c>
      <c r="P320" s="161">
        <v>117.3</v>
      </c>
      <c r="Q320" s="164">
        <v>0.35880000000000001</v>
      </c>
      <c r="R320" s="164">
        <v>1.1999999999999999E-3</v>
      </c>
      <c r="S320" s="163">
        <v>39.672000000000004</v>
      </c>
      <c r="T320" s="163">
        <v>1.4279999999999999</v>
      </c>
      <c r="U320" s="178"/>
      <c r="V320" s="179"/>
      <c r="W320" s="179"/>
      <c r="X320" s="179"/>
    </row>
    <row r="321" spans="1:24" s="184" customFormat="1">
      <c r="A321" s="90">
        <v>699</v>
      </c>
      <c r="B321" s="250" t="s">
        <v>89</v>
      </c>
      <c r="C321" s="214"/>
      <c r="D321" s="80">
        <v>200</v>
      </c>
      <c r="E321" s="81">
        <v>9.1999999999999993</v>
      </c>
      <c r="F321" s="81">
        <v>0.1</v>
      </c>
      <c r="G321" s="82">
        <v>0</v>
      </c>
      <c r="H321" s="83">
        <v>15.7</v>
      </c>
      <c r="I321" s="81">
        <v>63.2</v>
      </c>
      <c r="J321" s="82">
        <v>1.7999999999999999E-2</v>
      </c>
      <c r="K321" s="82">
        <v>1.2E-2</v>
      </c>
      <c r="L321" s="83">
        <v>8</v>
      </c>
      <c r="M321" s="82">
        <v>0</v>
      </c>
      <c r="N321" s="81">
        <v>0.2</v>
      </c>
      <c r="O321" s="81">
        <v>10.8</v>
      </c>
      <c r="P321" s="81">
        <v>1.7</v>
      </c>
      <c r="Q321" s="81">
        <v>0</v>
      </c>
      <c r="R321" s="84">
        <v>0</v>
      </c>
      <c r="S321" s="81">
        <v>5.8</v>
      </c>
      <c r="T321" s="81">
        <v>1.6</v>
      </c>
    </row>
    <row r="322" spans="1:24" s="180" customFormat="1" ht="11.25" customHeight="1">
      <c r="A322" s="52" t="s">
        <v>60</v>
      </c>
      <c r="B322" s="201" t="s">
        <v>44</v>
      </c>
      <c r="C322" s="202"/>
      <c r="D322" s="162">
        <v>40</v>
      </c>
      <c r="E322" s="163">
        <v>2.08</v>
      </c>
      <c r="F322" s="163">
        <f>2.64*D322/40</f>
        <v>2.64</v>
      </c>
      <c r="G322" s="163">
        <f>0.48*D322/40</f>
        <v>0.48</v>
      </c>
      <c r="H322" s="163">
        <f>13.68*D322/40</f>
        <v>13.680000000000001</v>
      </c>
      <c r="I322" s="161">
        <f>F322*4+G322*9+H322*4</f>
        <v>69.600000000000009</v>
      </c>
      <c r="J322" s="160">
        <f>0.08*D322/40</f>
        <v>0.08</v>
      </c>
      <c r="K322" s="163">
        <f>0.04*D322/40</f>
        <v>0.04</v>
      </c>
      <c r="L322" s="162">
        <v>0</v>
      </c>
      <c r="M322" s="162">
        <v>0</v>
      </c>
      <c r="N322" s="163">
        <f>2.4*D322/40</f>
        <v>2.4</v>
      </c>
      <c r="O322" s="163">
        <f>14*D322/40</f>
        <v>14</v>
      </c>
      <c r="P322" s="163">
        <f>63.2*D322/40</f>
        <v>63.2</v>
      </c>
      <c r="Q322" s="163">
        <f>1.2*D322/40</f>
        <v>1.2</v>
      </c>
      <c r="R322" s="164">
        <f>0.001*D322/40</f>
        <v>1E-3</v>
      </c>
      <c r="S322" s="163">
        <f>9.4*D322/40</f>
        <v>9.4</v>
      </c>
      <c r="T322" s="160">
        <f>0.78*D322/40</f>
        <v>0.78</v>
      </c>
      <c r="U322" s="188"/>
      <c r="V322" s="189"/>
      <c r="W322" s="189"/>
      <c r="X322" s="189"/>
    </row>
    <row r="323" spans="1:24" s="3" customFormat="1" ht="11.25" customHeight="1">
      <c r="A323" s="167" t="s">
        <v>60</v>
      </c>
      <c r="B323" s="201" t="s">
        <v>49</v>
      </c>
      <c r="C323" s="202"/>
      <c r="D323" s="162">
        <v>30</v>
      </c>
      <c r="E323" s="163">
        <v>2.52</v>
      </c>
      <c r="F323" s="163">
        <f>1.52*D323/30</f>
        <v>1.52</v>
      </c>
      <c r="G323" s="164">
        <f>0.16*D323/30</f>
        <v>0.16</v>
      </c>
      <c r="H323" s="164">
        <f>9.84*D323/30</f>
        <v>9.84</v>
      </c>
      <c r="I323" s="164">
        <f>F323*4+G323*9+H323*4</f>
        <v>46.879999999999995</v>
      </c>
      <c r="J323" s="164">
        <f>0.02*D323/30</f>
        <v>0.02</v>
      </c>
      <c r="K323" s="164">
        <f>0.01*D323/30</f>
        <v>0.01</v>
      </c>
      <c r="L323" s="164">
        <f>0.44*D323/30</f>
        <v>0.44</v>
      </c>
      <c r="M323" s="164">
        <v>0</v>
      </c>
      <c r="N323" s="164">
        <f>0.7*D323/30</f>
        <v>0.7</v>
      </c>
      <c r="O323" s="164">
        <f>4*D323/30</f>
        <v>4</v>
      </c>
      <c r="P323" s="164">
        <f>13*D323/30</f>
        <v>13</v>
      </c>
      <c r="Q323" s="164">
        <f>0.008*D323/30</f>
        <v>8.0000000000000002E-3</v>
      </c>
      <c r="R323" s="164">
        <f>0.001*D323/30</f>
        <v>1E-3</v>
      </c>
      <c r="S323" s="164">
        <v>0</v>
      </c>
      <c r="T323" s="164">
        <f>0.22*D323/30</f>
        <v>0.22</v>
      </c>
      <c r="U323" s="49"/>
      <c r="V323" s="50"/>
      <c r="W323" s="50"/>
      <c r="X323" s="50"/>
    </row>
    <row r="324" spans="1:24" s="3" customFormat="1" ht="11.25" customHeight="1">
      <c r="A324" s="156" t="s">
        <v>27</v>
      </c>
      <c r="B324" s="157"/>
      <c r="C324" s="157"/>
      <c r="D324" s="158">
        <f t="shared" ref="D324:I324" si="89">SUM(D317:D323)</f>
        <v>860</v>
      </c>
      <c r="E324" s="175">
        <f t="shared" si="89"/>
        <v>94</v>
      </c>
      <c r="F324" s="150">
        <f t="shared" si="89"/>
        <v>41.278000000000006</v>
      </c>
      <c r="G324" s="149">
        <f t="shared" si="89"/>
        <v>32.361999999999995</v>
      </c>
      <c r="H324" s="149">
        <f t="shared" si="89"/>
        <v>101.15200000000002</v>
      </c>
      <c r="I324" s="149">
        <f t="shared" si="89"/>
        <v>861.03800000000001</v>
      </c>
      <c r="J324" s="149">
        <f t="shared" ref="J324:T324" si="90">SUM(J317:J323)</f>
        <v>0.76900000000000002</v>
      </c>
      <c r="K324" s="150">
        <f t="shared" si="90"/>
        <v>0.46100000000000002</v>
      </c>
      <c r="L324" s="149">
        <f t="shared" si="90"/>
        <v>23.196000000000002</v>
      </c>
      <c r="M324" s="149">
        <f t="shared" si="90"/>
        <v>0.13025</v>
      </c>
      <c r="N324" s="32">
        <f t="shared" si="90"/>
        <v>5.4300000000000006</v>
      </c>
      <c r="O324" s="149">
        <f t="shared" si="90"/>
        <v>222.23050000000001</v>
      </c>
      <c r="P324" s="149">
        <f t="shared" si="90"/>
        <v>342.93249999999995</v>
      </c>
      <c r="Q324" s="149">
        <f t="shared" si="90"/>
        <v>2.4308000000000001</v>
      </c>
      <c r="R324" s="151">
        <f t="shared" si="90"/>
        <v>4.5200000000000004E-2</v>
      </c>
      <c r="S324" s="149">
        <f t="shared" si="90"/>
        <v>115.28449999999999</v>
      </c>
      <c r="T324" s="150">
        <f t="shared" si="90"/>
        <v>5.4904999999999999</v>
      </c>
      <c r="U324" s="29"/>
      <c r="V324" s="30"/>
      <c r="W324" s="30"/>
      <c r="X324" s="30"/>
    </row>
    <row r="325" spans="1:24" s="3" customFormat="1" ht="11.25" customHeight="1">
      <c r="A325" s="210" t="s">
        <v>57</v>
      </c>
      <c r="B325" s="211"/>
      <c r="C325" s="211"/>
      <c r="D325" s="212"/>
      <c r="E325" s="121"/>
      <c r="F325" s="51">
        <f t="shared" ref="F325:T325" si="91">F324/F332</f>
        <v>0.45864444444444452</v>
      </c>
      <c r="G325" s="153">
        <f t="shared" si="91"/>
        <v>0.35176086956521735</v>
      </c>
      <c r="H325" s="153">
        <f t="shared" si="91"/>
        <v>0.26410443864229771</v>
      </c>
      <c r="I325" s="153">
        <f t="shared" si="91"/>
        <v>0.31655808823529413</v>
      </c>
      <c r="J325" s="153">
        <f t="shared" si="91"/>
        <v>0.54928571428571438</v>
      </c>
      <c r="K325" s="153">
        <f t="shared" si="91"/>
        <v>0.28812500000000002</v>
      </c>
      <c r="L325" s="153">
        <f t="shared" si="91"/>
        <v>0.33137142857142859</v>
      </c>
      <c r="M325" s="153">
        <f t="shared" si="91"/>
        <v>0.14472222222222222</v>
      </c>
      <c r="N325" s="153">
        <f t="shared" si="91"/>
        <v>0.45250000000000007</v>
      </c>
      <c r="O325" s="153">
        <f t="shared" si="91"/>
        <v>0.18519208333333334</v>
      </c>
      <c r="P325" s="153">
        <f t="shared" si="91"/>
        <v>0.28577708333333329</v>
      </c>
      <c r="Q325" s="153">
        <f t="shared" si="91"/>
        <v>0.17362857142857144</v>
      </c>
      <c r="R325" s="153">
        <f t="shared" si="91"/>
        <v>0.45200000000000001</v>
      </c>
      <c r="S325" s="153">
        <f t="shared" si="91"/>
        <v>0.38428166666666663</v>
      </c>
      <c r="T325" s="153">
        <f t="shared" si="91"/>
        <v>0.30502777777777779</v>
      </c>
      <c r="U325" s="36"/>
      <c r="V325" s="30"/>
      <c r="W325" s="30"/>
      <c r="X325" s="30"/>
    </row>
    <row r="326" spans="1:24" s="3" customFormat="1" ht="11.25" customHeight="1">
      <c r="A326" s="215" t="s">
        <v>28</v>
      </c>
      <c r="B326" s="216"/>
      <c r="C326" s="216"/>
      <c r="D326" s="216"/>
      <c r="E326" s="216"/>
      <c r="F326" s="216"/>
      <c r="G326" s="216"/>
      <c r="H326" s="216"/>
      <c r="I326" s="216"/>
      <c r="J326" s="216"/>
      <c r="K326" s="216"/>
      <c r="L326" s="216"/>
      <c r="M326" s="216"/>
      <c r="N326" s="216"/>
      <c r="O326" s="216"/>
      <c r="P326" s="216"/>
      <c r="Q326" s="216"/>
      <c r="R326" s="216"/>
      <c r="S326" s="216"/>
      <c r="T326" s="217"/>
      <c r="U326" s="9"/>
      <c r="V326" s="22"/>
      <c r="W326" s="22"/>
      <c r="X326" s="22"/>
    </row>
    <row r="327" spans="1:24" s="68" customFormat="1" ht="11.25" customHeight="1">
      <c r="A327" s="199"/>
      <c r="B327" s="231"/>
      <c r="C327" s="231"/>
      <c r="D327" s="196"/>
      <c r="E327" s="192"/>
      <c r="F327" s="192"/>
      <c r="G327" s="192"/>
      <c r="H327" s="192"/>
      <c r="I327" s="192"/>
      <c r="J327" s="192"/>
      <c r="K327" s="192"/>
      <c r="L327" s="191"/>
      <c r="M327" s="191"/>
      <c r="N327" s="192"/>
      <c r="O327" s="192"/>
      <c r="P327" s="192"/>
      <c r="Q327" s="191"/>
      <c r="R327" s="191"/>
      <c r="S327" s="192"/>
      <c r="T327" s="192"/>
    </row>
    <row r="328" spans="1:24" s="68" customFormat="1" ht="11.25" customHeight="1">
      <c r="A328" s="87"/>
      <c r="B328" s="206"/>
      <c r="C328" s="206"/>
      <c r="D328" s="71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</row>
    <row r="329" spans="1:24" s="1" customFormat="1" ht="11.25" customHeight="1">
      <c r="A329" s="156" t="s">
        <v>29</v>
      </c>
      <c r="B329" s="157"/>
      <c r="C329" s="157"/>
      <c r="D329" s="158">
        <f t="shared" ref="D329:I329" si="92">SUM(D327:D328)</f>
        <v>0</v>
      </c>
      <c r="E329" s="158">
        <f t="shared" si="92"/>
        <v>0</v>
      </c>
      <c r="F329" s="150">
        <f t="shared" si="92"/>
        <v>0</v>
      </c>
      <c r="G329" s="149">
        <f t="shared" si="92"/>
        <v>0</v>
      </c>
      <c r="H329" s="149">
        <f t="shared" si="92"/>
        <v>0</v>
      </c>
      <c r="I329" s="149">
        <f t="shared" si="92"/>
        <v>0</v>
      </c>
      <c r="J329" s="149">
        <f t="shared" ref="J329:T329" si="93">SUM(J327:J328)</f>
        <v>0</v>
      </c>
      <c r="K329" s="149">
        <f t="shared" si="93"/>
        <v>0</v>
      </c>
      <c r="L329" s="149">
        <f t="shared" si="93"/>
        <v>0</v>
      </c>
      <c r="M329" s="150">
        <f t="shared" si="93"/>
        <v>0</v>
      </c>
      <c r="N329" s="150">
        <f t="shared" si="93"/>
        <v>0</v>
      </c>
      <c r="O329" s="149">
        <f t="shared" si="93"/>
        <v>0</v>
      </c>
      <c r="P329" s="149">
        <f t="shared" si="93"/>
        <v>0</v>
      </c>
      <c r="Q329" s="149">
        <f t="shared" si="93"/>
        <v>0</v>
      </c>
      <c r="R329" s="151">
        <f t="shared" si="93"/>
        <v>0</v>
      </c>
      <c r="S329" s="149">
        <f t="shared" si="93"/>
        <v>0</v>
      </c>
      <c r="T329" s="150">
        <f t="shared" si="93"/>
        <v>0</v>
      </c>
      <c r="U329" s="29"/>
      <c r="V329" s="30"/>
      <c r="W329" s="30"/>
      <c r="X329" s="30"/>
    </row>
    <row r="330" spans="1:24" s="1" customFormat="1" ht="11.25" customHeight="1">
      <c r="A330" s="210" t="s">
        <v>57</v>
      </c>
      <c r="B330" s="211"/>
      <c r="C330" s="211"/>
      <c r="D330" s="212"/>
      <c r="E330" s="121"/>
      <c r="F330" s="51">
        <f>F329/F332</f>
        <v>0</v>
      </c>
      <c r="G330" s="153">
        <f t="shared" ref="G330:T330" si="94">G329/G332</f>
        <v>0</v>
      </c>
      <c r="H330" s="153">
        <f t="shared" si="94"/>
        <v>0</v>
      </c>
      <c r="I330" s="153">
        <f t="shared" si="94"/>
        <v>0</v>
      </c>
      <c r="J330" s="153">
        <f t="shared" si="94"/>
        <v>0</v>
      </c>
      <c r="K330" s="153">
        <f t="shared" si="94"/>
        <v>0</v>
      </c>
      <c r="L330" s="153">
        <f t="shared" si="94"/>
        <v>0</v>
      </c>
      <c r="M330" s="153">
        <f t="shared" si="94"/>
        <v>0</v>
      </c>
      <c r="N330" s="153">
        <f t="shared" si="94"/>
        <v>0</v>
      </c>
      <c r="O330" s="153">
        <f t="shared" si="94"/>
        <v>0</v>
      </c>
      <c r="P330" s="153">
        <f t="shared" si="94"/>
        <v>0</v>
      </c>
      <c r="Q330" s="153">
        <f t="shared" si="94"/>
        <v>0</v>
      </c>
      <c r="R330" s="153">
        <f t="shared" si="94"/>
        <v>0</v>
      </c>
      <c r="S330" s="153">
        <f t="shared" si="94"/>
        <v>0</v>
      </c>
      <c r="T330" s="153">
        <f t="shared" si="94"/>
        <v>0</v>
      </c>
      <c r="U330" s="36"/>
      <c r="V330" s="30"/>
      <c r="W330" s="30"/>
      <c r="X330" s="30"/>
    </row>
    <row r="331" spans="1:24" s="1" customFormat="1" ht="11.25" customHeight="1">
      <c r="A331" s="156" t="s">
        <v>56</v>
      </c>
      <c r="B331" s="157"/>
      <c r="C331" s="157"/>
      <c r="D331" s="61">
        <f>D324+D314</f>
        <v>1380</v>
      </c>
      <c r="E331" s="177">
        <f>E324+E314</f>
        <v>167</v>
      </c>
      <c r="F331" s="150">
        <f t="shared" ref="F331:T331" si="95">SUM(F314,F324,F329)</f>
        <v>57.218000000000004</v>
      </c>
      <c r="G331" s="149">
        <f t="shared" si="95"/>
        <v>56.791999999999994</v>
      </c>
      <c r="H331" s="149">
        <f t="shared" si="95"/>
        <v>166.42200000000003</v>
      </c>
      <c r="I331" s="149">
        <f t="shared" si="95"/>
        <v>1405.7380000000001</v>
      </c>
      <c r="J331" s="150">
        <f t="shared" si="95"/>
        <v>0.998</v>
      </c>
      <c r="K331" s="150">
        <f t="shared" si="95"/>
        <v>0.57099999999999995</v>
      </c>
      <c r="L331" s="149">
        <f t="shared" si="95"/>
        <v>29.626000000000001</v>
      </c>
      <c r="M331" s="150">
        <f t="shared" si="95"/>
        <v>0.16325000000000001</v>
      </c>
      <c r="N331" s="150">
        <f t="shared" si="95"/>
        <v>8.77</v>
      </c>
      <c r="O331" s="149">
        <f t="shared" si="95"/>
        <v>268.84050000000002</v>
      </c>
      <c r="P331" s="149">
        <f t="shared" si="95"/>
        <v>598.72249999999997</v>
      </c>
      <c r="Q331" s="150">
        <f t="shared" si="95"/>
        <v>4.5297999999999998</v>
      </c>
      <c r="R331" s="151">
        <f t="shared" si="95"/>
        <v>2.5981999999999994</v>
      </c>
      <c r="S331" s="150">
        <f t="shared" si="95"/>
        <v>240.47449999999998</v>
      </c>
      <c r="T331" s="150">
        <f t="shared" si="95"/>
        <v>11.060499999999999</v>
      </c>
      <c r="U331" s="31"/>
      <c r="V331" s="30"/>
      <c r="W331" s="30"/>
      <c r="X331" s="30"/>
    </row>
    <row r="332" spans="1:24" s="1" customFormat="1" ht="11.25" customHeight="1">
      <c r="A332" s="207" t="s">
        <v>58</v>
      </c>
      <c r="B332" s="208"/>
      <c r="C332" s="208"/>
      <c r="D332" s="209"/>
      <c r="E332" s="127"/>
      <c r="F332" s="163">
        <v>90</v>
      </c>
      <c r="G332" s="161">
        <v>92</v>
      </c>
      <c r="H332" s="161">
        <v>383</v>
      </c>
      <c r="I332" s="161">
        <v>2720</v>
      </c>
      <c r="J332" s="163">
        <v>1.4</v>
      </c>
      <c r="K332" s="163">
        <v>1.6</v>
      </c>
      <c r="L332" s="162">
        <v>70</v>
      </c>
      <c r="M332" s="163">
        <v>0.9</v>
      </c>
      <c r="N332" s="162">
        <v>12</v>
      </c>
      <c r="O332" s="162">
        <v>1200</v>
      </c>
      <c r="P332" s="162">
        <v>1200</v>
      </c>
      <c r="Q332" s="162">
        <v>14</v>
      </c>
      <c r="R332" s="161">
        <v>0.1</v>
      </c>
      <c r="S332" s="162">
        <v>300</v>
      </c>
      <c r="T332" s="163">
        <v>18</v>
      </c>
      <c r="U332" s="49"/>
      <c r="V332" s="50"/>
      <c r="W332" s="50"/>
      <c r="X332" s="50"/>
    </row>
    <row r="333" spans="1:24" s="1" customFormat="1" ht="11.25" customHeight="1">
      <c r="A333" s="210" t="s">
        <v>57</v>
      </c>
      <c r="B333" s="211"/>
      <c r="C333" s="211"/>
      <c r="D333" s="212"/>
      <c r="E333" s="121"/>
      <c r="F333" s="51">
        <f t="shared" ref="F333:T333" si="96">F331/F332</f>
        <v>0.63575555555555563</v>
      </c>
      <c r="G333" s="153">
        <f t="shared" si="96"/>
        <v>0.6173043478260869</v>
      </c>
      <c r="H333" s="153">
        <f t="shared" si="96"/>
        <v>0.43452219321148833</v>
      </c>
      <c r="I333" s="153">
        <f t="shared" si="96"/>
        <v>0.5168154411764706</v>
      </c>
      <c r="J333" s="153">
        <f t="shared" si="96"/>
        <v>0.71285714285714286</v>
      </c>
      <c r="K333" s="153">
        <f t="shared" si="96"/>
        <v>0.35687499999999994</v>
      </c>
      <c r="L333" s="153">
        <f t="shared" si="96"/>
        <v>0.42322857142857145</v>
      </c>
      <c r="M333" s="33">
        <f t="shared" si="96"/>
        <v>0.18138888888888891</v>
      </c>
      <c r="N333" s="153">
        <f t="shared" si="96"/>
        <v>0.73083333333333333</v>
      </c>
      <c r="O333" s="153">
        <f t="shared" si="96"/>
        <v>0.22403375</v>
      </c>
      <c r="P333" s="153">
        <f t="shared" si="96"/>
        <v>0.49893541666666663</v>
      </c>
      <c r="Q333" s="153">
        <f t="shared" si="96"/>
        <v>0.32355714285714282</v>
      </c>
      <c r="R333" s="33">
        <f t="shared" si="96"/>
        <v>25.981999999999992</v>
      </c>
      <c r="S333" s="153">
        <f t="shared" si="96"/>
        <v>0.80158166666666664</v>
      </c>
      <c r="T333" s="33">
        <f t="shared" si="96"/>
        <v>0.6144722222222222</v>
      </c>
      <c r="U333" s="34"/>
      <c r="V333" s="35"/>
      <c r="W333" s="35"/>
      <c r="X333" s="35"/>
    </row>
    <row r="334" spans="1:24" s="1" customFormat="1" ht="11.25" customHeight="1">
      <c r="A334" s="41"/>
      <c r="B334" s="41"/>
      <c r="C334" s="125"/>
      <c r="D334" s="125"/>
      <c r="E334" s="125"/>
      <c r="F334" s="59"/>
      <c r="G334" s="144"/>
      <c r="H334" s="2"/>
      <c r="I334" s="2"/>
      <c r="J334" s="144"/>
      <c r="K334" s="144"/>
      <c r="L334" s="144"/>
      <c r="M334" s="218" t="s">
        <v>59</v>
      </c>
      <c r="N334" s="218"/>
      <c r="O334" s="218"/>
      <c r="P334" s="218"/>
      <c r="Q334" s="218"/>
      <c r="R334" s="218"/>
      <c r="S334" s="218"/>
      <c r="T334" s="218"/>
      <c r="U334" s="10"/>
      <c r="V334" s="17"/>
      <c r="W334" s="17"/>
      <c r="X334" s="17"/>
    </row>
    <row r="335" spans="1:24" s="1" customFormat="1" ht="11.25" customHeight="1">
      <c r="A335" s="41"/>
      <c r="B335" s="41"/>
      <c r="C335" s="125"/>
      <c r="D335" s="125"/>
      <c r="E335" s="125"/>
      <c r="F335" s="59"/>
      <c r="G335" s="144"/>
      <c r="H335" s="2"/>
      <c r="I335" s="2"/>
      <c r="J335" s="144"/>
      <c r="K335" s="144"/>
      <c r="L335" s="144"/>
      <c r="M335" s="128"/>
      <c r="N335" s="128"/>
      <c r="O335" s="128"/>
      <c r="P335" s="128"/>
      <c r="Q335" s="128"/>
      <c r="R335" s="128"/>
      <c r="S335" s="128"/>
      <c r="T335" s="128"/>
      <c r="U335" s="10"/>
      <c r="V335" s="17"/>
      <c r="W335" s="17"/>
      <c r="X335" s="17"/>
    </row>
    <row r="336" spans="1:24" ht="11.25" customHeight="1">
      <c r="A336" s="41"/>
      <c r="B336" s="41"/>
      <c r="C336" s="41"/>
      <c r="D336" s="144"/>
      <c r="E336" s="144"/>
      <c r="F336" s="140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2"/>
      <c r="V336" s="18"/>
      <c r="W336" s="18"/>
      <c r="X336" s="18"/>
    </row>
    <row r="337" spans="1:24" ht="29.25" customHeight="1">
      <c r="A337" s="222" t="s">
        <v>61</v>
      </c>
      <c r="B337" s="222"/>
      <c r="C337" s="222"/>
      <c r="D337" s="222"/>
      <c r="E337" s="222"/>
      <c r="F337" s="222"/>
      <c r="G337" s="222"/>
      <c r="H337" s="222"/>
      <c r="I337" s="222"/>
      <c r="J337" s="222"/>
      <c r="K337" s="222"/>
      <c r="L337" s="222"/>
      <c r="M337" s="222"/>
      <c r="N337" s="222"/>
      <c r="O337" s="222"/>
      <c r="P337" s="222"/>
      <c r="Q337" s="222"/>
      <c r="R337" s="222"/>
      <c r="S337" s="222"/>
      <c r="T337" s="222"/>
      <c r="U337" s="12"/>
      <c r="V337" s="18"/>
      <c r="W337" s="18"/>
      <c r="X337" s="18"/>
    </row>
    <row r="338" spans="1:24" ht="29.25" customHeight="1">
      <c r="A338" s="41"/>
      <c r="B338" s="41"/>
      <c r="C338" s="41"/>
      <c r="D338" s="144"/>
      <c r="E338" s="144"/>
      <c r="F338" s="140"/>
      <c r="G338" s="144"/>
      <c r="H338" s="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5"/>
      <c r="V338" s="18"/>
      <c r="W338" s="18"/>
      <c r="X338" s="18"/>
    </row>
    <row r="339" spans="1:24" s="54" customFormat="1" ht="13.5" customHeight="1">
      <c r="A339" s="55"/>
      <c r="B339" s="55"/>
      <c r="C339" s="55"/>
      <c r="D339" s="55"/>
      <c r="E339" s="55"/>
      <c r="F339" s="60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6"/>
      <c r="W339" s="53"/>
      <c r="X339" s="53"/>
    </row>
  </sheetData>
  <autoFilter ref="B1:B339"/>
  <mergeCells count="393">
    <mergeCell ref="W295:W297"/>
    <mergeCell ref="B286:C286"/>
    <mergeCell ref="X295:X297"/>
    <mergeCell ref="B296:C296"/>
    <mergeCell ref="A228:T228"/>
    <mergeCell ref="B230:C230"/>
    <mergeCell ref="A235:D235"/>
    <mergeCell ref="A259:D259"/>
    <mergeCell ref="A260:T260"/>
    <mergeCell ref="B253:C253"/>
    <mergeCell ref="B256:C256"/>
    <mergeCell ref="V295:V297"/>
    <mergeCell ref="A227:D227"/>
    <mergeCell ref="N238:T238"/>
    <mergeCell ref="G237:I237"/>
    <mergeCell ref="B290:C290"/>
    <mergeCell ref="B291:C291"/>
    <mergeCell ref="A294:T294"/>
    <mergeCell ref="B222:C222"/>
    <mergeCell ref="A218:T218"/>
    <mergeCell ref="A208:A209"/>
    <mergeCell ref="B223:C223"/>
    <mergeCell ref="B214:C214"/>
    <mergeCell ref="B212:C212"/>
    <mergeCell ref="A211:T211"/>
    <mergeCell ref="B213:C213"/>
    <mergeCell ref="B215:C215"/>
    <mergeCell ref="B208:C209"/>
    <mergeCell ref="D106:D107"/>
    <mergeCell ref="B181:C181"/>
    <mergeCell ref="A177:T177"/>
    <mergeCell ref="B190:C190"/>
    <mergeCell ref="F174:H174"/>
    <mergeCell ref="B123:C123"/>
    <mergeCell ref="O208:T208"/>
    <mergeCell ref="B189:C189"/>
    <mergeCell ref="A171:T171"/>
    <mergeCell ref="B164:C164"/>
    <mergeCell ref="M170:T170"/>
    <mergeCell ref="A161:D161"/>
    <mergeCell ref="B182:C182"/>
    <mergeCell ref="A184:D184"/>
    <mergeCell ref="A186:T186"/>
    <mergeCell ref="A200:D200"/>
    <mergeCell ref="N71:Q71"/>
    <mergeCell ref="N104:Q104"/>
    <mergeCell ref="N139:Q139"/>
    <mergeCell ref="A102:D102"/>
    <mergeCell ref="B18:C18"/>
    <mergeCell ref="B91:C91"/>
    <mergeCell ref="D72:F72"/>
    <mergeCell ref="B112:C112"/>
    <mergeCell ref="B120:C120"/>
    <mergeCell ref="B121:C121"/>
    <mergeCell ref="B12:C12"/>
    <mergeCell ref="B19:C19"/>
    <mergeCell ref="B23:C23"/>
    <mergeCell ref="B51:C51"/>
    <mergeCell ref="B20:C20"/>
    <mergeCell ref="A32:D32"/>
    <mergeCell ref="A34:D34"/>
    <mergeCell ref="B29:C29"/>
    <mergeCell ref="A169:D169"/>
    <mergeCell ref="A166:D166"/>
    <mergeCell ref="B78:C78"/>
    <mergeCell ref="B305:C306"/>
    <mergeCell ref="L303:M303"/>
    <mergeCell ref="A301:D301"/>
    <mergeCell ref="A305:A306"/>
    <mergeCell ref="B295:C295"/>
    <mergeCell ref="B289:C289"/>
    <mergeCell ref="B90:C90"/>
    <mergeCell ref="B285:C285"/>
    <mergeCell ref="N271:Q271"/>
    <mergeCell ref="G303:I303"/>
    <mergeCell ref="L238:M238"/>
    <mergeCell ref="L237:M237"/>
    <mergeCell ref="A293:D293"/>
    <mergeCell ref="B287:C287"/>
    <mergeCell ref="B288:C288"/>
    <mergeCell ref="B251:C251"/>
    <mergeCell ref="B257:C257"/>
    <mergeCell ref="N303:Q303"/>
    <mergeCell ref="A302:T302"/>
    <mergeCell ref="N304:T304"/>
    <mergeCell ref="D304:F304"/>
    <mergeCell ref="O305:T305"/>
    <mergeCell ref="F305:H305"/>
    <mergeCell ref="I305:I306"/>
    <mergeCell ref="J305:N305"/>
    <mergeCell ref="B318:C318"/>
    <mergeCell ref="D305:D306"/>
    <mergeCell ref="L304:M304"/>
    <mergeCell ref="B307:C307"/>
    <mergeCell ref="B311:C311"/>
    <mergeCell ref="B312:C312"/>
    <mergeCell ref="B313:C313"/>
    <mergeCell ref="F273:H273"/>
    <mergeCell ref="A326:T326"/>
    <mergeCell ref="B321:C321"/>
    <mergeCell ref="A333:D333"/>
    <mergeCell ref="B327:C327"/>
    <mergeCell ref="B328:C328"/>
    <mergeCell ref="A325:D325"/>
    <mergeCell ref="A332:D332"/>
    <mergeCell ref="B317:C317"/>
    <mergeCell ref="B319:C319"/>
    <mergeCell ref="A330:D330"/>
    <mergeCell ref="M334:T334"/>
    <mergeCell ref="B322:C322"/>
    <mergeCell ref="A316:T316"/>
    <mergeCell ref="B323:C323"/>
    <mergeCell ref="B277:C277"/>
    <mergeCell ref="B320:C320"/>
    <mergeCell ref="A308:T308"/>
    <mergeCell ref="A315:D315"/>
    <mergeCell ref="B280:C280"/>
    <mergeCell ref="A284:T284"/>
    <mergeCell ref="B278:C278"/>
    <mergeCell ref="G271:I271"/>
    <mergeCell ref="L271:M271"/>
    <mergeCell ref="B252:C252"/>
    <mergeCell ref="A249:D249"/>
    <mergeCell ref="N272:T272"/>
    <mergeCell ref="A273:A274"/>
    <mergeCell ref="B275:C275"/>
    <mergeCell ref="A276:T276"/>
    <mergeCell ref="B244:C244"/>
    <mergeCell ref="A239:A240"/>
    <mergeCell ref="B239:C240"/>
    <mergeCell ref="D239:D240"/>
    <mergeCell ref="B273:C274"/>
    <mergeCell ref="I273:I274"/>
    <mergeCell ref="A266:D266"/>
    <mergeCell ref="A264:D264"/>
    <mergeCell ref="D272:F272"/>
    <mergeCell ref="A242:T242"/>
    <mergeCell ref="N207:T207"/>
    <mergeCell ref="B221:C221"/>
    <mergeCell ref="A236:T236"/>
    <mergeCell ref="N237:Q237"/>
    <mergeCell ref="O239:T239"/>
    <mergeCell ref="B229:C229"/>
    <mergeCell ref="A232:D232"/>
    <mergeCell ref="I239:I240"/>
    <mergeCell ref="F239:H239"/>
    <mergeCell ref="B210:C210"/>
    <mergeCell ref="B178:C178"/>
    <mergeCell ref="N206:Q206"/>
    <mergeCell ref="D208:D209"/>
    <mergeCell ref="F208:H208"/>
    <mergeCell ref="I208:I209"/>
    <mergeCell ref="J208:N208"/>
    <mergeCell ref="G206:I206"/>
    <mergeCell ref="L206:M206"/>
    <mergeCell ref="D207:F207"/>
    <mergeCell ref="L207:M207"/>
    <mergeCell ref="M204:T204"/>
    <mergeCell ref="A196:T196"/>
    <mergeCell ref="A202:D202"/>
    <mergeCell ref="A203:D203"/>
    <mergeCell ref="B188:C188"/>
    <mergeCell ref="B197:C197"/>
    <mergeCell ref="A195:D195"/>
    <mergeCell ref="B191:C191"/>
    <mergeCell ref="L173:M173"/>
    <mergeCell ref="N173:T173"/>
    <mergeCell ref="A174:A175"/>
    <mergeCell ref="B174:C175"/>
    <mergeCell ref="D174:D175"/>
    <mergeCell ref="I174:I175"/>
    <mergeCell ref="O174:T174"/>
    <mergeCell ref="D173:F173"/>
    <mergeCell ref="J174:N174"/>
    <mergeCell ref="A162:T162"/>
    <mergeCell ref="B163:C163"/>
    <mergeCell ref="B158:C158"/>
    <mergeCell ref="B157:C157"/>
    <mergeCell ref="B154:C154"/>
    <mergeCell ref="L172:M172"/>
    <mergeCell ref="B155:C155"/>
    <mergeCell ref="N172:Q172"/>
    <mergeCell ref="G172:I172"/>
    <mergeCell ref="A168:D168"/>
    <mergeCell ref="A152:T152"/>
    <mergeCell ref="J141:N141"/>
    <mergeCell ref="B149:C149"/>
    <mergeCell ref="B147:C147"/>
    <mergeCell ref="B146:C146"/>
    <mergeCell ref="B159:C159"/>
    <mergeCell ref="B148:C148"/>
    <mergeCell ref="B143:C143"/>
    <mergeCell ref="A144:T144"/>
    <mergeCell ref="O141:T141"/>
    <mergeCell ref="N140:T140"/>
    <mergeCell ref="B141:C142"/>
    <mergeCell ref="A134:D134"/>
    <mergeCell ref="D140:F140"/>
    <mergeCell ref="L140:M140"/>
    <mergeCell ref="I141:I142"/>
    <mergeCell ref="D141:D142"/>
    <mergeCell ref="A141:A142"/>
    <mergeCell ref="F141:H141"/>
    <mergeCell ref="G139:I139"/>
    <mergeCell ref="L105:M105"/>
    <mergeCell ref="N105:T105"/>
    <mergeCell ref="B108:C108"/>
    <mergeCell ref="A109:T109"/>
    <mergeCell ref="I106:I107"/>
    <mergeCell ref="O106:T106"/>
    <mergeCell ref="F106:H106"/>
    <mergeCell ref="J106:N106"/>
    <mergeCell ref="A106:A107"/>
    <mergeCell ref="B106:C107"/>
    <mergeCell ref="G104:I104"/>
    <mergeCell ref="L104:M104"/>
    <mergeCell ref="F73:H73"/>
    <mergeCell ref="I73:I74"/>
    <mergeCell ref="B92:C92"/>
    <mergeCell ref="B75:C75"/>
    <mergeCell ref="B97:C97"/>
    <mergeCell ref="B81:C81"/>
    <mergeCell ref="A103:T103"/>
    <mergeCell ref="A95:T95"/>
    <mergeCell ref="B96:C96"/>
    <mergeCell ref="A76:T76"/>
    <mergeCell ref="B77:C77"/>
    <mergeCell ref="B87:C87"/>
    <mergeCell ref="B88:C88"/>
    <mergeCell ref="B89:C89"/>
    <mergeCell ref="B9:C9"/>
    <mergeCell ref="A35:D35"/>
    <mergeCell ref="J73:N73"/>
    <mergeCell ref="D73:D74"/>
    <mergeCell ref="B61:C61"/>
    <mergeCell ref="B21:C21"/>
    <mergeCell ref="N72:T72"/>
    <mergeCell ref="A73:A74"/>
    <mergeCell ref="O73:T73"/>
    <mergeCell ref="B73:C74"/>
    <mergeCell ref="N4:T4"/>
    <mergeCell ref="O5:T5"/>
    <mergeCell ref="A8:T8"/>
    <mergeCell ref="F5:H5"/>
    <mergeCell ref="I5:I6"/>
    <mergeCell ref="B7:C7"/>
    <mergeCell ref="A5:A6"/>
    <mergeCell ref="B10:C10"/>
    <mergeCell ref="B11:C11"/>
    <mergeCell ref="L38:M38"/>
    <mergeCell ref="N39:T39"/>
    <mergeCell ref="A17:T17"/>
    <mergeCell ref="B22:C22"/>
    <mergeCell ref="B25:C25"/>
    <mergeCell ref="A28:T28"/>
    <mergeCell ref="M36:T36"/>
    <mergeCell ref="B24:C24"/>
    <mergeCell ref="A27:D27"/>
    <mergeCell ref="J40:N40"/>
    <mergeCell ref="F40:H40"/>
    <mergeCell ref="A43:T43"/>
    <mergeCell ref="D39:F39"/>
    <mergeCell ref="B40:C41"/>
    <mergeCell ref="I40:I41"/>
    <mergeCell ref="B30:C30"/>
    <mergeCell ref="N38:Q38"/>
    <mergeCell ref="B13:C13"/>
    <mergeCell ref="A15:D15"/>
    <mergeCell ref="A37:T37"/>
    <mergeCell ref="A40:A41"/>
    <mergeCell ref="B16:C16"/>
    <mergeCell ref="M68:T68"/>
    <mergeCell ref="B53:C53"/>
    <mergeCell ref="B46:C46"/>
    <mergeCell ref="G38:I38"/>
    <mergeCell ref="B47:C47"/>
    <mergeCell ref="O40:T40"/>
    <mergeCell ref="A67:D67"/>
    <mergeCell ref="D40:D41"/>
    <mergeCell ref="B55:C55"/>
    <mergeCell ref="A50:T50"/>
    <mergeCell ref="B62:C62"/>
    <mergeCell ref="A66:D66"/>
    <mergeCell ref="A117:T117"/>
    <mergeCell ref="B110:C110"/>
    <mergeCell ref="A70:T70"/>
    <mergeCell ref="A59:D59"/>
    <mergeCell ref="B56:C56"/>
    <mergeCell ref="A64:D64"/>
    <mergeCell ref="G71:I71"/>
    <mergeCell ref="L71:M71"/>
    <mergeCell ref="L72:M72"/>
    <mergeCell ref="A85:T85"/>
    <mergeCell ref="B42:C42"/>
    <mergeCell ref="A138:T138"/>
    <mergeCell ref="B54:C54"/>
    <mergeCell ref="L3:M3"/>
    <mergeCell ref="L4:M4"/>
    <mergeCell ref="D4:F4"/>
    <mergeCell ref="L39:M39"/>
    <mergeCell ref="A99:D99"/>
    <mergeCell ref="A101:D101"/>
    <mergeCell ref="A116:D116"/>
    <mergeCell ref="A300:D300"/>
    <mergeCell ref="B247:C247"/>
    <mergeCell ref="D273:D274"/>
    <mergeCell ref="B254:C254"/>
    <mergeCell ref="A270:T270"/>
    <mergeCell ref="A283:D283"/>
    <mergeCell ref="A298:D298"/>
    <mergeCell ref="J273:N273"/>
    <mergeCell ref="B255:C255"/>
    <mergeCell ref="A250:T250"/>
    <mergeCell ref="X1:X4"/>
    <mergeCell ref="J5:N5"/>
    <mergeCell ref="M1:T1"/>
    <mergeCell ref="A2:T2"/>
    <mergeCell ref="G3:I3"/>
    <mergeCell ref="B5:C6"/>
    <mergeCell ref="U1:U4"/>
    <mergeCell ref="D5:D6"/>
    <mergeCell ref="N3:Q3"/>
    <mergeCell ref="V1:V4"/>
    <mergeCell ref="A267:D267"/>
    <mergeCell ref="B245:C245"/>
    <mergeCell ref="B261:C261"/>
    <mergeCell ref="A205:T205"/>
    <mergeCell ref="A234:D234"/>
    <mergeCell ref="B220:C220"/>
    <mergeCell ref="D238:F238"/>
    <mergeCell ref="B224:C224"/>
    <mergeCell ref="B243:C243"/>
    <mergeCell ref="J239:N239"/>
    <mergeCell ref="B52:C52"/>
    <mergeCell ref="A49:D49"/>
    <mergeCell ref="B44:C44"/>
    <mergeCell ref="A217:D217"/>
    <mergeCell ref="L272:M272"/>
    <mergeCell ref="B225:C225"/>
    <mergeCell ref="B241:C241"/>
    <mergeCell ref="B124:C124"/>
    <mergeCell ref="B129:C129"/>
    <mergeCell ref="B45:C45"/>
    <mergeCell ref="B262:C262"/>
    <mergeCell ref="X80:X81"/>
    <mergeCell ref="B246:C246"/>
    <mergeCell ref="B187:C187"/>
    <mergeCell ref="W246:W247"/>
    <mergeCell ref="V80:V81"/>
    <mergeCell ref="X246:X247"/>
    <mergeCell ref="A94:D94"/>
    <mergeCell ref="B113:C113"/>
    <mergeCell ref="A127:D127"/>
    <mergeCell ref="B279:C279"/>
    <mergeCell ref="B310:C310"/>
    <mergeCell ref="B309:C309"/>
    <mergeCell ref="B176:C176"/>
    <mergeCell ref="B179:C179"/>
    <mergeCell ref="V246:V247"/>
    <mergeCell ref="O273:T273"/>
    <mergeCell ref="M268:T268"/>
    <mergeCell ref="B192:C192"/>
    <mergeCell ref="B198:C198"/>
    <mergeCell ref="W80:W81"/>
    <mergeCell ref="A337:T337"/>
    <mergeCell ref="B281:C281"/>
    <mergeCell ref="B79:C79"/>
    <mergeCell ref="B86:C86"/>
    <mergeCell ref="B193:C193"/>
    <mergeCell ref="B111:C111"/>
    <mergeCell ref="B219:C219"/>
    <mergeCell ref="B185:C185"/>
    <mergeCell ref="B145:C145"/>
    <mergeCell ref="B57:C57"/>
    <mergeCell ref="B180:C180"/>
    <mergeCell ref="B156:C156"/>
    <mergeCell ref="A60:T60"/>
    <mergeCell ref="A135:D135"/>
    <mergeCell ref="B130:C130"/>
    <mergeCell ref="A83:D83"/>
    <mergeCell ref="M136:T136"/>
    <mergeCell ref="L139:M139"/>
    <mergeCell ref="A128:T128"/>
    <mergeCell ref="B118:C118"/>
    <mergeCell ref="B80:C80"/>
    <mergeCell ref="B153:C153"/>
    <mergeCell ref="B122:C122"/>
    <mergeCell ref="A132:D132"/>
    <mergeCell ref="A151:D151"/>
    <mergeCell ref="B114:C114"/>
    <mergeCell ref="B125:C125"/>
    <mergeCell ref="D105:F105"/>
    <mergeCell ref="B119:C119"/>
  </mergeCells>
  <pageMargins left="0.7" right="0.7" top="0.75" bottom="0.75" header="0.3" footer="0.3"/>
  <pageSetup paperSize="9" scale="79" orientation="landscape" r:id="rId1"/>
  <rowBreaks count="10" manualBreakCount="10">
    <brk id="35" max="19" man="1"/>
    <brk id="67" max="19" man="1"/>
    <brk id="102" max="19" man="1"/>
    <brk id="135" max="16383" man="1"/>
    <brk id="169" max="19" man="1"/>
    <brk id="203" max="19" man="1"/>
    <brk id="235" max="19" man="1"/>
    <brk id="267" max="19" man="1"/>
    <brk id="301" max="19" man="1"/>
    <brk id="33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zav_karam_nijn</dc:creator>
  <cp:lastModifiedBy>Светлана</cp:lastModifiedBy>
  <cp:revision>1</cp:revision>
  <cp:lastPrinted>2023-12-22T11:15:19Z</cp:lastPrinted>
  <dcterms:created xsi:type="dcterms:W3CDTF">2017-06-07T09:01:22Z</dcterms:created>
  <dcterms:modified xsi:type="dcterms:W3CDTF">2024-01-17T07:57:35Z</dcterms:modified>
</cp:coreProperties>
</file>